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defaultThemeVersion="124226"/>
  <mc:AlternateContent xmlns:mc="http://schemas.openxmlformats.org/markup-compatibility/2006">
    <mc:Choice Requires="x15">
      <x15ac:absPath xmlns:x15ac="http://schemas.microsoft.com/office/spreadsheetml/2010/11/ac" url="C:\Users\ADM-ADVICE\Desktop\Macauba\Planilha Orçamentária - Cronograma\"/>
    </mc:Choice>
  </mc:AlternateContent>
  <xr:revisionPtr revIDLastSave="0" documentId="13_ncr:1_{3A624DDB-5DBD-40D8-9301-17123E1A63EF}" xr6:coauthVersionLast="47" xr6:coauthVersionMax="47" xr10:uidLastSave="{00000000-0000-0000-0000-000000000000}"/>
  <bookViews>
    <workbookView xWindow="20370" yWindow="-120" windowWidth="29040" windowHeight="15840" tabRatio="845" activeTab="1" xr2:uid="{00000000-000D-0000-FFFF-FFFF00000000}"/>
  </bookViews>
  <sheets>
    <sheet name="ORÇAMENTO" sheetId="104" r:id="rId1"/>
    <sheet name="C.F.F GERAL " sheetId="36"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s>
  <definedNames>
    <definedName name="\i" localSheetId="0">'[1]Planilha de Preço'!#REF!</definedName>
    <definedName name="\i">'[1]Planilha de Preço'!#REF!</definedName>
    <definedName name="\l" localSheetId="0">'[1]Planilha de Preço'!#REF!</definedName>
    <definedName name="\l">'[1]Planilha de Preço'!#REF!</definedName>
    <definedName name="\s" localSheetId="0">'[1]Planilha de Preço'!#REF!</definedName>
    <definedName name="\s">'[1]Planilha de Preço'!#REF!</definedName>
    <definedName name="\t" localSheetId="0">'[1]Planilha de Preço'!#REF!</definedName>
    <definedName name="\t">'[1]Planilha de Preço'!#REF!</definedName>
    <definedName name="_AA100000" localSheetId="0">#REF!</definedName>
    <definedName name="_AA100000">#REF!</definedName>
    <definedName name="_Fill" localSheetId="0" hidden="1">#REF!</definedName>
    <definedName name="_Fill" hidden="1">#REF!</definedName>
    <definedName name="_xlnm._FilterDatabase" localSheetId="0" hidden="1">ORÇAMENTO!$F$1:$F$273</definedName>
    <definedName name="_xlnm._FilterDatabase" hidden="1">#REF!</definedName>
    <definedName name="_Key1" localSheetId="0" hidden="1">#REF!</definedName>
    <definedName name="_Key1" hidden="1">#REF!</definedName>
    <definedName name="_Key2" localSheetId="0" hidden="1">#REF!</definedName>
    <definedName name="_Key2" hidden="1">#REF!</definedName>
    <definedName name="_LOC10" localSheetId="0">[2]Orçamento!#REF!</definedName>
    <definedName name="_LOC10">[2]Orçamento!#REF!</definedName>
    <definedName name="_LOC11" localSheetId="0">[2]Orçamento!#REF!</definedName>
    <definedName name="_LOC11">[2]Orçamento!#REF!</definedName>
    <definedName name="_LOC12" localSheetId="0">[2]Orçamento!#REF!</definedName>
    <definedName name="_LOC12">[2]Orçamento!#REF!</definedName>
    <definedName name="_LOC13" localSheetId="0">[2]Orçamento!#REF!</definedName>
    <definedName name="_LOC13">[2]Orçamento!#REF!</definedName>
    <definedName name="_LOC14" localSheetId="0">[2]Orçamento!#REF!</definedName>
    <definedName name="_LOC14">[2]Orçamento!#REF!</definedName>
    <definedName name="_LOC15" localSheetId="0">[2]Orçamento!#REF!</definedName>
    <definedName name="_LOC15">[2]Orçamento!#REF!</definedName>
    <definedName name="_LOC16" localSheetId="0">[2]Orçamento!#REF!</definedName>
    <definedName name="_LOC16">[2]Orçamento!#REF!</definedName>
    <definedName name="_LOC17" localSheetId="0">[2]Orçamento!#REF!</definedName>
    <definedName name="_LOC17">[2]Orçamento!#REF!</definedName>
    <definedName name="_LOC18" localSheetId="0">[2]Orçamento!#REF!</definedName>
    <definedName name="_LOC18">[2]Orçamento!#REF!</definedName>
    <definedName name="_LOC19" localSheetId="0">[2]Orçamento!#REF!</definedName>
    <definedName name="_LOC19">[2]Orçamento!#REF!</definedName>
    <definedName name="_LOC2" localSheetId="0">[2]Orçamento!#REF!</definedName>
    <definedName name="_LOC2">[2]Orçamento!#REF!</definedName>
    <definedName name="_LOC20" localSheetId="0">[2]Orçamento!#REF!</definedName>
    <definedName name="_LOC20">[2]Orçamento!#REF!</definedName>
    <definedName name="_LOC21" localSheetId="0">[2]Orçamento!#REF!</definedName>
    <definedName name="_LOC21">[2]Orçamento!#REF!</definedName>
    <definedName name="_LOC22" localSheetId="0">[2]Orçamento!#REF!</definedName>
    <definedName name="_LOC22">[2]Orçamento!#REF!</definedName>
    <definedName name="_LOC23" localSheetId="0">[2]Orçamento!#REF!</definedName>
    <definedName name="_LOC23">[2]Orçamento!#REF!</definedName>
    <definedName name="_LOC24" localSheetId="0">[2]Orçamento!#REF!</definedName>
    <definedName name="_LOC24">[2]Orçamento!#REF!</definedName>
    <definedName name="_LOC25" localSheetId="0">[2]Orçamento!#REF!</definedName>
    <definedName name="_LOC25">[2]Orçamento!#REF!</definedName>
    <definedName name="_LOC26" localSheetId="0">[2]Orçamento!#REF!</definedName>
    <definedName name="_LOC26">[2]Orçamento!#REF!</definedName>
    <definedName name="_LOC27" localSheetId="0">[2]Orçamento!#REF!</definedName>
    <definedName name="_LOC27">[2]Orçamento!#REF!</definedName>
    <definedName name="_LOC28" localSheetId="0">[2]Orçamento!#REF!</definedName>
    <definedName name="_LOC28">[2]Orçamento!#REF!</definedName>
    <definedName name="_LOC29" localSheetId="0">[2]Orçamento!#REF!</definedName>
    <definedName name="_LOC29">[2]Orçamento!#REF!</definedName>
    <definedName name="_LOC3" localSheetId="0">[2]Orçamento!#REF!</definedName>
    <definedName name="_LOC3">[2]Orçamento!#REF!</definedName>
    <definedName name="_LOC30" localSheetId="0">[2]Orçamento!#REF!</definedName>
    <definedName name="_LOC30">[2]Orçamento!#REF!</definedName>
    <definedName name="_LOC31" localSheetId="0">[2]Orçamento!#REF!</definedName>
    <definedName name="_LOC31">[2]Orçamento!#REF!</definedName>
    <definedName name="_LOC32" localSheetId="0">[2]Orçamento!#REF!</definedName>
    <definedName name="_LOC32">[2]Orçamento!#REF!</definedName>
    <definedName name="_LOC33" localSheetId="0">[2]Orçamento!#REF!</definedName>
    <definedName name="_LOC33">[2]Orçamento!#REF!</definedName>
    <definedName name="_LOC34" localSheetId="0">[2]Orçamento!#REF!</definedName>
    <definedName name="_LOC34">[2]Orçamento!#REF!</definedName>
    <definedName name="_LOC35" localSheetId="0">[2]Orçamento!#REF!</definedName>
    <definedName name="_LOC35">[2]Orçamento!#REF!</definedName>
    <definedName name="_LOC36" localSheetId="0">[2]Orçamento!#REF!</definedName>
    <definedName name="_LOC36">[2]Orçamento!#REF!</definedName>
    <definedName name="_LOC37" localSheetId="0">[2]Orçamento!#REF!</definedName>
    <definedName name="_LOC37">[2]Orçamento!#REF!</definedName>
    <definedName name="_LOC38" localSheetId="0">[2]Orçamento!#REF!</definedName>
    <definedName name="_LOC38">[2]Orçamento!#REF!</definedName>
    <definedName name="_LOC39" localSheetId="0">[2]Orçamento!#REF!</definedName>
    <definedName name="_LOC39">[2]Orçamento!#REF!</definedName>
    <definedName name="_LOC4" localSheetId="0">[2]Orçamento!#REF!</definedName>
    <definedName name="_LOC4">[2]Orçamento!#REF!</definedName>
    <definedName name="_LOC40" localSheetId="0">[2]Orçamento!#REF!</definedName>
    <definedName name="_LOC40">[2]Orçamento!#REF!</definedName>
    <definedName name="_LOC41" localSheetId="0">[2]Orçamento!#REF!</definedName>
    <definedName name="_LOC41">[2]Orçamento!#REF!</definedName>
    <definedName name="_LOC42" localSheetId="0">[2]Orçamento!#REF!</definedName>
    <definedName name="_LOC42">[2]Orçamento!#REF!</definedName>
    <definedName name="_LOC5" localSheetId="0">[2]Orçamento!#REF!</definedName>
    <definedName name="_LOC5">[2]Orçamento!#REF!</definedName>
    <definedName name="_LOC6" localSheetId="0">[2]Orçamento!#REF!</definedName>
    <definedName name="_LOC6">[2]Orçamento!#REF!</definedName>
    <definedName name="_LOC7" localSheetId="0">[2]Orçamento!#REF!</definedName>
    <definedName name="_LOC7">[2]Orçamento!#REF!</definedName>
    <definedName name="_LOC8" localSheetId="0">[2]Orçamento!#REF!</definedName>
    <definedName name="_LOC8">[2]Orçamento!#REF!</definedName>
    <definedName name="_LOC9" localSheetId="0">[2]Orçamento!#REF!</definedName>
    <definedName name="_LOC9">[2]Orçamento!#REF!</definedName>
    <definedName name="_Order1" hidden="1">255</definedName>
    <definedName name="_Order2" hidden="1">255</definedName>
    <definedName name="_R" localSheetId="0">'[1]Planilha de Preço'!#REF!</definedName>
    <definedName name="_R">'[1]Planilha de Preço'!#REF!</definedName>
    <definedName name="_Sort" localSheetId="0" hidden="1">#REF!</definedName>
    <definedName name="_Sort" hidden="1">#REF!</definedName>
    <definedName name="AC" localSheetId="0">#REF!</definedName>
    <definedName name="AC">#REF!</definedName>
    <definedName name="ademir" hidden="1">{#N/A,#N/A,FALSE,"Cronograma";#N/A,#N/A,FALSE,"Cronogr. 2"}</definedName>
    <definedName name="AL" localSheetId="0">#REF!</definedName>
    <definedName name="AL">#REF!</definedName>
    <definedName name="_xlnm.Print_Area" localSheetId="1">'C.F.F GERAL '!$A$1:$J$39</definedName>
    <definedName name="_xlnm.Print_Area" localSheetId="0">ORÇAMENTO!$A$1:$I$273</definedName>
    <definedName name="_xlnm.Print_Area">#REF!</definedName>
    <definedName name="Área_impressão_IM" localSheetId="0">'[1]Planilha de Preço'!#REF!</definedName>
    <definedName name="Área_impressão_IM">'[1]Planilha de Preço'!#REF!</definedName>
    <definedName name="B.01.05.10.10" localSheetId="0">#REF!</definedName>
    <definedName name="B.01.05.10.10">#REF!</definedName>
    <definedName name="_xlnm.Database" localSheetId="0">#REF!</definedName>
    <definedName name="_xlnm.Database">#REF!</definedName>
    <definedName name="bosta" hidden="1">{#N/A,#N/A,FALSE,"Cronograma";#N/A,#N/A,FALSE,"Cronogr. 2"}</definedName>
    <definedName name="CA´L" hidden="1">{#N/A,#N/A,FALSE,"Cronograma";#N/A,#N/A,FALSE,"Cronogr. 2"}</definedName>
    <definedName name="CD" localSheetId="0">'[3]B.D.I.'!#REF!</definedName>
    <definedName name="CD">'[3]B.D.I.'!#REF!</definedName>
    <definedName name="COMPOSICAO" localSheetId="0">#REF!</definedName>
    <definedName name="COMPOSICAO">#REF!</definedName>
    <definedName name="concorrentes" hidden="1">{#N/A,#N/A,FALSE,"Cronograma";#N/A,#N/A,FALSE,"Cronogr. 2"}</definedName>
    <definedName name="CP" localSheetId="0">#REF!</definedName>
    <definedName name="CP">#REF!</definedName>
    <definedName name="CS" localSheetId="0">'[3]B.D.I.'!#REF!</definedName>
    <definedName name="CS">'[3]B.D.I.'!#REF!</definedName>
    <definedName name="CT" localSheetId="0">#REF!</definedName>
    <definedName name="CT">#REF!</definedName>
    <definedName name="DSADA">'[4]B.D.I.'!$D$12</definedName>
    <definedName name="EV" localSheetId="0">#REF!</definedName>
    <definedName name="EV">#REF!</definedName>
    <definedName name="FF" localSheetId="0" hidden="1">#REF!</definedName>
    <definedName name="FF" hidden="1">#REF!</definedName>
    <definedName name="FIM" localSheetId="0">#REF!</definedName>
    <definedName name="FIM">#REF!</definedName>
    <definedName name="FRETE">'[5]Preços insumos'!$F$11</definedName>
    <definedName name="GUYJTYUJUYJU" localSheetId="0">#REF!</definedName>
    <definedName name="GUYJTYUJUYJU">#REF!</definedName>
    <definedName name="IC" localSheetId="0">'[3]B.D.I.'!#REF!</definedName>
    <definedName name="IC">'[3]B.D.I.'!#REF!</definedName>
    <definedName name="IGUAÇU" localSheetId="0">#REF!</definedName>
    <definedName name="IGUAÇU">#REF!</definedName>
    <definedName name="IMPR" localSheetId="0">[2]Orçamento!#REF!</definedName>
    <definedName name="IMPR">[2]Orçamento!#REF!</definedName>
    <definedName name="IMPR1" localSheetId="0">[2]Orçamento!#REF!</definedName>
    <definedName name="IMPR1">[2]Orçamento!#REF!</definedName>
    <definedName name="IS" localSheetId="0">#REF!</definedName>
    <definedName name="IS">#REF!</definedName>
    <definedName name="Kilo_da_Armação">'[6]Preços insumos'!$F$11</definedName>
    <definedName name="LB" localSheetId="0">#REF!</definedName>
    <definedName name="LB">#REF!</definedName>
    <definedName name="leizão">[7]Total!$D$27</definedName>
    <definedName name="Macro1">[0]!Macro1</definedName>
    <definedName name="MACROS" localSheetId="0">'[1]Planilha de Preço'!#REF!</definedName>
    <definedName name="MACROS">'[1]Planilha de Preço'!#REF!</definedName>
    <definedName name="MAYSA" localSheetId="0">#REF!</definedName>
    <definedName name="MAYSA">#REF!</definedName>
    <definedName name="MEMORIA" localSheetId="0">#REF!</definedName>
    <definedName name="MEMORIA">#REF!</definedName>
    <definedName name="Mobilização">[0]!Mobilização</definedName>
    <definedName name="multi">[8]OK!$A$27</definedName>
    <definedName name="mumu">[7]Prog!$B$4</definedName>
    <definedName name="nova" localSheetId="0">#REF!</definedName>
    <definedName name="nova">#REF!</definedName>
    <definedName name="OBTENÇÃO">'[4]B.D.I.'!$D$7</definedName>
    <definedName name="oi" localSheetId="0">#REF!</definedName>
    <definedName name="oi">#REF!</definedName>
    <definedName name="over" localSheetId="1">#REF!</definedName>
    <definedName name="over" localSheetId="0">#REF!</definedName>
    <definedName name="over">#REF!</definedName>
    <definedName name="over1" localSheetId="0">#REF!</definedName>
    <definedName name="over1">#REF!</definedName>
    <definedName name="PMI" localSheetId="0">#REF!</definedName>
    <definedName name="PMI">#REF!</definedName>
    <definedName name="Popular" hidden="1">{#N/A,#N/A,FALSE,"Cronograma";#N/A,#N/A,FALSE,"Cronogr. 2"}</definedName>
    <definedName name="Preço_Unit_Chácaras" localSheetId="0">#REF!</definedName>
    <definedName name="Preço_Unit_Chácaras">#REF!</definedName>
    <definedName name="Print_Area_MI" localSheetId="0">[7]Memorial!#REF!</definedName>
    <definedName name="Print_Area_MI">[7]Memorial!#REF!</definedName>
    <definedName name="PV" localSheetId="0">#REF!</definedName>
    <definedName name="PV">#REF!</definedName>
    <definedName name="Quant_Chácaras" localSheetId="0">#REF!</definedName>
    <definedName name="Quant_Chácaras">#REF!</definedName>
    <definedName name="QUARTZ" localSheetId="0">#REF!</definedName>
    <definedName name="QUARTZ">#REF!</definedName>
    <definedName name="Receita_Chácaras" localSheetId="0">#REF!</definedName>
    <definedName name="Receita_Chácaras">#REF!</definedName>
    <definedName name="rio" hidden="1">{#N/A,#N/A,FALSE,"Cronograma";#N/A,#N/A,FALSE,"Cronogr. 2"}</definedName>
    <definedName name="RUA" localSheetId="0">#REF!</definedName>
    <definedName name="RUA">#REF!</definedName>
    <definedName name="SD" hidden="1">{#N/A,#N/A,FALSE,"MATERIAIS"}</definedName>
    <definedName name="solver_lin" hidden="1">0</definedName>
    <definedName name="solver_num" hidden="1">0</definedName>
    <definedName name="solver_opt" localSheetId="0" hidden="1">#REF!</definedName>
    <definedName name="solver_opt" hidden="1">#REF!</definedName>
    <definedName name="solver_tmp" localSheetId="0" hidden="1">#REF!</definedName>
    <definedName name="solver_tmp" hidden="1">#REF!</definedName>
    <definedName name="solver_typ" hidden="1">1</definedName>
    <definedName name="solver_val" hidden="1">0</definedName>
    <definedName name="ss" hidden="1">{#N/A,#N/A,FALSE,"Cronograma";#N/A,#N/A,FALSE,"Cronogr. 2"}</definedName>
    <definedName name="t_meso_2" localSheetId="0">#REF!</definedName>
    <definedName name="t_meso_2">#REF!</definedName>
    <definedName name="t_super_est_2" localSheetId="0">#REF!</definedName>
    <definedName name="t_super_est_2">#REF!</definedName>
    <definedName name="Tela_1_PB_159___Ø_800_a_1000mm">'[9]Preços insumos'!$F$6</definedName>
    <definedName name="Tela_2_PB_196___Ø_1200mm">'[9]Preços insumos'!$F$8</definedName>
    <definedName name="Tela_3_PB_246___Ø_1500mm">'[9]Preços insumos'!$F$9</definedName>
    <definedName name="TESTE" localSheetId="0">'[1]Planilha de Preço'!#REF!</definedName>
    <definedName name="TESTE">'[1]Planilha de Preço'!#REF!</definedName>
    <definedName name="_xlnm.Print_Titles" localSheetId="1">'C.F.F GERAL '!$A:$D</definedName>
    <definedName name="_xlnm.Print_Titles" localSheetId="0">ORÇAMENTO!$A:$D,ORÇAMENTO!$1:$33</definedName>
    <definedName name="_xlnm.Print_Titles">#REF!</definedName>
    <definedName name="tot_infra_1" localSheetId="0">#REF!</definedName>
    <definedName name="tot_infra_1">#REF!</definedName>
    <definedName name="TOTAL_GERAL" localSheetId="0">#REF!</definedName>
    <definedName name="TOTAL_GERAL">#REF!</definedName>
    <definedName name="TOTALCRONOGRA" localSheetId="0">#REF!</definedName>
    <definedName name="TOTALCRONOGRA">#REF!</definedName>
    <definedName name="VENTO" localSheetId="0">#REF!</definedName>
    <definedName name="VENTO">#REF!</definedName>
    <definedName name="wrn.COLETAS._.DE._.EQUIPAMENTOS." hidden="1">{#N/A,#N/A,FALSE,"EQUIPAMENTOS"}</definedName>
    <definedName name="wrn.COLETAS._.DE._.MATERIAIS." hidden="1">{#N/A,#N/A,FALSE,"SOTREQ"}</definedName>
    <definedName name="wrn.COMP._.EQUIP." hidden="1">{#N/A,#N/A,FALSE,"EQUIPAMENTOS"}</definedName>
    <definedName name="wrn.COMP._.MATERIAIS." hidden="1">{#N/A,#N/A,FALSE,"MATERIAIS"}</definedName>
    <definedName name="wrn.Cronograma." hidden="1">{#N/A,#N/A,FALSE,"Cronograma";#N/A,#N/A,FALSE,"Cronogr. 2"}</definedName>
    <definedName name="wrn.GERAL." hidden="1">{#N/A,#N/A,FALSE,"ET-CAPA";#N/A,#N/A,FALSE,"ET-PAG1";#N/A,#N/A,FALSE,"ET-PAG2";#N/A,#N/A,FALSE,"ET-PAG3";#N/A,#N/A,FALSE,"ET-PAG4";#N/A,#N/A,FALSE,"ET-PAG5"}</definedName>
    <definedName name="wrn.PENDENCIAS." hidden="1">{#N/A,#N/A,FALSE,"GERAL";#N/A,#N/A,FALSE,"012-96";#N/A,#N/A,FALSE,"018-96";#N/A,#N/A,FALSE,"027-96";#N/A,#N/A,FALSE,"059-96";#N/A,#N/A,FALSE,"076-96";#N/A,#N/A,FALSE,"019-97";#N/A,#N/A,FALSE,"021-97";#N/A,#N/A,FALSE,"022-97";#N/A,#N/A,FALSE,"028-97"}</definedName>
    <definedName name="wrn.PNEUS." hidden="1">{#N/A,#N/A,FALSE,"EQUIPAMENTOS"}</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35" i="104" l="1"/>
  <c r="E49" i="104" l="1"/>
  <c r="E46" i="104"/>
  <c r="E45" i="104"/>
  <c r="E54" i="104"/>
  <c r="F88" i="104"/>
  <c r="E100" i="104"/>
  <c r="E242" i="104"/>
  <c r="E143" i="104"/>
  <c r="E220" i="104"/>
  <c r="E104" i="104"/>
  <c r="E102" i="104"/>
  <c r="E103" i="104"/>
  <c r="F231" i="104" l="1"/>
  <c r="E48" i="104"/>
  <c r="F143" i="104"/>
  <c r="E44" i="104"/>
  <c r="E43" i="104"/>
  <c r="E50" i="104"/>
  <c r="F168" i="104"/>
  <c r="F167" i="104"/>
  <c r="F166" i="104"/>
  <c r="F61" i="104"/>
  <c r="F208" i="104" l="1"/>
  <c r="E129" i="104"/>
  <c r="E121" i="104"/>
  <c r="E47" i="104"/>
  <c r="A24" i="36" l="1"/>
  <c r="A25" i="36"/>
  <c r="F149" i="104" l="1"/>
  <c r="F45" i="104" l="1"/>
  <c r="F62" i="104" l="1"/>
  <c r="F57" i="104" l="1"/>
  <c r="F56" i="104"/>
  <c r="F55" i="104"/>
  <c r="F54" i="104"/>
  <c r="F50" i="104"/>
  <c r="F49" i="104"/>
  <c r="F48" i="104"/>
  <c r="F47" i="104"/>
  <c r="F46" i="104"/>
  <c r="F44" i="104"/>
  <c r="F43" i="104"/>
  <c r="F42" i="104"/>
  <c r="E130" i="104"/>
  <c r="F111" i="104"/>
  <c r="F90" i="104" l="1"/>
  <c r="E89" i="104"/>
  <c r="E74" i="104"/>
  <c r="E73" i="104"/>
  <c r="F71" i="104"/>
  <c r="F72" i="104"/>
  <c r="E92" i="104" l="1"/>
  <c r="E93" i="104" s="1"/>
  <c r="E120" i="104" l="1"/>
  <c r="E124" i="104" s="1"/>
  <c r="E122" i="104"/>
  <c r="E123" i="104" s="1"/>
  <c r="E125" i="104" s="1"/>
  <c r="F178" i="104"/>
  <c r="F205" i="104" l="1"/>
  <c r="F206" i="104"/>
  <c r="F207" i="104"/>
  <c r="F209" i="104"/>
  <c r="F144" i="104" l="1"/>
  <c r="E26" i="104" l="1"/>
  <c r="F164" i="104"/>
  <c r="F165" i="104"/>
  <c r="F156" i="104" l="1"/>
  <c r="F73" i="104"/>
  <c r="F74" i="104"/>
  <c r="F248" i="104" l="1"/>
  <c r="F141" i="104"/>
  <c r="F142" i="104"/>
  <c r="F182" i="104"/>
  <c r="F183" i="104"/>
  <c r="F184" i="104"/>
  <c r="F185" i="104"/>
  <c r="F186" i="104"/>
  <c r="F187" i="104"/>
  <c r="F188" i="104"/>
  <c r="F189" i="104"/>
  <c r="F190" i="104"/>
  <c r="F191" i="104"/>
  <c r="F192" i="104"/>
  <c r="F193" i="104"/>
  <c r="F194" i="104"/>
  <c r="F195" i="104"/>
  <c r="F196" i="104"/>
  <c r="F197" i="104"/>
  <c r="F198" i="104"/>
  <c r="F199" i="104"/>
  <c r="F140" i="104"/>
  <c r="F82" i="104"/>
  <c r="F80" i="104"/>
  <c r="F81" i="104"/>
  <c r="F79" i="104"/>
  <c r="F114" i="104"/>
  <c r="F115" i="104"/>
  <c r="F236" i="104"/>
  <c r="F237" i="104"/>
  <c r="F238" i="104"/>
  <c r="F239" i="104"/>
  <c r="F240" i="104"/>
  <c r="F241" i="104"/>
  <c r="F242" i="104"/>
  <c r="F243" i="104"/>
  <c r="F244" i="104"/>
  <c r="F163" i="104" l="1"/>
  <c r="F172" i="104"/>
  <c r="F173" i="104"/>
  <c r="F174" i="104"/>
  <c r="F175" i="104"/>
  <c r="F176" i="104"/>
  <c r="F177" i="104"/>
  <c r="F150" i="104"/>
  <c r="F151" i="104"/>
  <c r="F152" i="104"/>
  <c r="F160" i="104"/>
  <c r="F162" i="104"/>
  <c r="F161" i="104"/>
  <c r="F113" i="104"/>
  <c r="F252" i="104" l="1"/>
  <c r="F210" i="104"/>
  <c r="F211" i="104"/>
  <c r="F212" i="104"/>
  <c r="F213" i="104"/>
  <c r="F214" i="104"/>
  <c r="F215" i="104"/>
  <c r="F216" i="104"/>
  <c r="F217" i="104"/>
  <c r="F218" i="104"/>
  <c r="F219" i="104"/>
  <c r="F220" i="104"/>
  <c r="F221" i="104"/>
  <c r="F222" i="104"/>
  <c r="F223" i="104"/>
  <c r="F224" i="104"/>
  <c r="F225" i="104"/>
  <c r="F226" i="104"/>
  <c r="F227" i="104"/>
  <c r="F228" i="104"/>
  <c r="F229" i="104"/>
  <c r="F230" i="104"/>
  <c r="F232" i="104"/>
  <c r="F137" i="104"/>
  <c r="F138" i="104"/>
  <c r="F139" i="104"/>
  <c r="F136" i="104"/>
  <c r="F125" i="104"/>
  <c r="F131" i="104"/>
  <c r="F129" i="104"/>
  <c r="F130" i="104"/>
  <c r="F124" i="104"/>
  <c r="F123" i="104"/>
  <c r="F121" i="104"/>
  <c r="F122" i="104"/>
  <c r="F120" i="104"/>
  <c r="F104" i="104"/>
  <c r="F105" i="104"/>
  <c r="F95" i="104" l="1"/>
  <c r="F91" i="104"/>
  <c r="F92" i="104"/>
  <c r="F93" i="104"/>
  <c r="F94" i="104"/>
  <c r="F89" i="104"/>
  <c r="F99" i="104"/>
  <c r="F100" i="104"/>
  <c r="F101" i="104"/>
  <c r="F102" i="104"/>
  <c r="F103" i="104"/>
  <c r="F109" i="104"/>
  <c r="F110" i="104"/>
  <c r="F112" i="104"/>
  <c r="F66" i="104"/>
  <c r="F67" i="104"/>
  <c r="F68" i="104"/>
  <c r="F69" i="104"/>
  <c r="F70" i="104"/>
  <c r="F36" i="104" l="1"/>
  <c r="F37" i="104"/>
  <c r="F38" i="104"/>
  <c r="A7" i="36" l="1"/>
  <c r="A6" i="36"/>
  <c r="E18" i="104"/>
  <c r="E9" i="104"/>
  <c r="G231" i="104" l="1"/>
  <c r="H231" i="104" s="1"/>
  <c r="G88" i="104"/>
  <c r="H88" i="104" s="1"/>
  <c r="G143" i="104"/>
  <c r="H143" i="104" s="1"/>
  <c r="G166" i="104"/>
  <c r="H166" i="104" s="1"/>
  <c r="G167" i="104"/>
  <c r="H167" i="104" s="1"/>
  <c r="G168" i="104"/>
  <c r="H168" i="104" s="1"/>
  <c r="G61" i="104"/>
  <c r="H61" i="104" s="1"/>
  <c r="G208" i="104"/>
  <c r="H208" i="104" s="1"/>
  <c r="G149" i="104"/>
  <c r="H149" i="104" s="1"/>
  <c r="G45" i="104"/>
  <c r="H45" i="104" s="1"/>
  <c r="G62" i="104"/>
  <c r="H62" i="104" s="1"/>
  <c r="G56" i="104"/>
  <c r="H56" i="104" s="1"/>
  <c r="G55" i="104"/>
  <c r="H55" i="104" s="1"/>
  <c r="G57" i="104"/>
  <c r="H57" i="104" s="1"/>
  <c r="G54" i="104"/>
  <c r="H54" i="104" s="1"/>
  <c r="G49" i="104"/>
  <c r="H49" i="104" s="1"/>
  <c r="G48" i="104"/>
  <c r="H48" i="104" s="1"/>
  <c r="G47" i="104"/>
  <c r="H47" i="104" s="1"/>
  <c r="G43" i="104"/>
  <c r="H43" i="104" s="1"/>
  <c r="G42" i="104"/>
  <c r="H42" i="104" s="1"/>
  <c r="G50" i="104"/>
  <c r="H50" i="104" s="1"/>
  <c r="G44" i="104"/>
  <c r="H44" i="104" s="1"/>
  <c r="G46" i="104"/>
  <c r="H46" i="104" s="1"/>
  <c r="G90" i="104"/>
  <c r="H90" i="104" s="1"/>
  <c r="G111" i="104"/>
  <c r="H111" i="104" s="1"/>
  <c r="G71" i="104"/>
  <c r="H71" i="104" s="1"/>
  <c r="G72" i="104"/>
  <c r="H72" i="104" s="1"/>
  <c r="G178" i="104"/>
  <c r="H178" i="104" s="1"/>
  <c r="G205" i="104"/>
  <c r="H205" i="104" s="1"/>
  <c r="G206" i="104"/>
  <c r="H206" i="104" s="1"/>
  <c r="G209" i="104"/>
  <c r="H209" i="104" s="1"/>
  <c r="G207" i="104"/>
  <c r="H207" i="104" s="1"/>
  <c r="G144" i="104"/>
  <c r="H144" i="104" s="1"/>
  <c r="G35" i="104"/>
  <c r="H35" i="104" s="1"/>
  <c r="G165" i="104"/>
  <c r="H165" i="104" s="1"/>
  <c r="G164" i="104"/>
  <c r="H164" i="104" s="1"/>
  <c r="G73" i="104"/>
  <c r="H73" i="104" s="1"/>
  <c r="G156" i="104"/>
  <c r="H156" i="104" s="1"/>
  <c r="G74" i="104"/>
  <c r="H74" i="104" s="1"/>
  <c r="G242" i="104"/>
  <c r="H242" i="104" s="1"/>
  <c r="G79" i="104"/>
  <c r="H79" i="104" s="1"/>
  <c r="G194" i="104"/>
  <c r="H194" i="104" s="1"/>
  <c r="G142" i="104"/>
  <c r="H142" i="104" s="1"/>
  <c r="G82" i="104"/>
  <c r="H82" i="104" s="1"/>
  <c r="G189" i="104"/>
  <c r="H189" i="104" s="1"/>
  <c r="G248" i="104"/>
  <c r="H248" i="104" s="1"/>
  <c r="G196" i="104"/>
  <c r="H196" i="104" s="1"/>
  <c r="G191" i="104"/>
  <c r="H191" i="104" s="1"/>
  <c r="G188" i="104"/>
  <c r="H188" i="104" s="1"/>
  <c r="G114" i="104"/>
  <c r="H114" i="104" s="1"/>
  <c r="G185" i="104"/>
  <c r="H185" i="104" s="1"/>
  <c r="G238" i="104"/>
  <c r="H238" i="104" s="1"/>
  <c r="G240" i="104"/>
  <c r="H240" i="104" s="1"/>
  <c r="G81" i="104"/>
  <c r="H81" i="104" s="1"/>
  <c r="G183" i="104"/>
  <c r="H183" i="104" s="1"/>
  <c r="G140" i="104"/>
  <c r="H140" i="104" s="1"/>
  <c r="G193" i="104"/>
  <c r="H193" i="104" s="1"/>
  <c r="G236" i="104"/>
  <c r="H236" i="104" s="1"/>
  <c r="G197" i="104"/>
  <c r="H197" i="104" s="1"/>
  <c r="G186" i="104"/>
  <c r="H186" i="104" s="1"/>
  <c r="G243" i="104"/>
  <c r="H243" i="104" s="1"/>
  <c r="G115" i="104"/>
  <c r="H115" i="104" s="1"/>
  <c r="G190" i="104"/>
  <c r="H190" i="104" s="1"/>
  <c r="G241" i="104"/>
  <c r="H241" i="104" s="1"/>
  <c r="G198" i="104"/>
  <c r="H198" i="104" s="1"/>
  <c r="G141" i="104"/>
  <c r="H141" i="104" s="1"/>
  <c r="G239" i="104"/>
  <c r="H239" i="104" s="1"/>
  <c r="G184" i="104"/>
  <c r="H184" i="104" s="1"/>
  <c r="G237" i="104"/>
  <c r="H237" i="104" s="1"/>
  <c r="G192" i="104"/>
  <c r="H192" i="104" s="1"/>
  <c r="G187" i="104"/>
  <c r="H187" i="104" s="1"/>
  <c r="G80" i="104"/>
  <c r="H80" i="104" s="1"/>
  <c r="G199" i="104"/>
  <c r="H199" i="104" s="1"/>
  <c r="G195" i="104"/>
  <c r="H195" i="104" s="1"/>
  <c r="G182" i="104"/>
  <c r="H182" i="104" s="1"/>
  <c r="G244" i="104"/>
  <c r="H244" i="104" s="1"/>
  <c r="G173" i="104"/>
  <c r="H173" i="104" s="1"/>
  <c r="G174" i="104"/>
  <c r="H174" i="104" s="1"/>
  <c r="G150" i="104"/>
  <c r="H150" i="104" s="1"/>
  <c r="G177" i="104"/>
  <c r="H177" i="104" s="1"/>
  <c r="G151" i="104"/>
  <c r="H151" i="104" s="1"/>
  <c r="G152" i="104"/>
  <c r="H152" i="104" s="1"/>
  <c r="G176" i="104"/>
  <c r="H176" i="104" s="1"/>
  <c r="G175" i="104"/>
  <c r="H175" i="104" s="1"/>
  <c r="G160" i="104"/>
  <c r="H160" i="104" s="1"/>
  <c r="G172" i="104"/>
  <c r="H172" i="104" s="1"/>
  <c r="G161" i="104"/>
  <c r="H161" i="104" s="1"/>
  <c r="G162" i="104"/>
  <c r="H162" i="104" s="1"/>
  <c r="G113" i="104"/>
  <c r="H113" i="104" s="1"/>
  <c r="G163" i="104"/>
  <c r="H163" i="104" s="1"/>
  <c r="G104" i="104"/>
  <c r="H104" i="104" s="1"/>
  <c r="G221" i="104"/>
  <c r="H221" i="104" s="1"/>
  <c r="G228" i="104"/>
  <c r="H228" i="104" s="1"/>
  <c r="G120" i="104"/>
  <c r="H120" i="104" s="1"/>
  <c r="G222" i="104"/>
  <c r="H222" i="104" s="1"/>
  <c r="G217" i="104"/>
  <c r="H217" i="104" s="1"/>
  <c r="G122" i="104"/>
  <c r="H122" i="104" s="1"/>
  <c r="G138" i="104"/>
  <c r="H138" i="104" s="1"/>
  <c r="G215" i="104"/>
  <c r="H215" i="104" s="1"/>
  <c r="G230" i="104"/>
  <c r="H230" i="104" s="1"/>
  <c r="G227" i="104"/>
  <c r="H227" i="104" s="1"/>
  <c r="G216" i="104"/>
  <c r="H216" i="104" s="1"/>
  <c r="G129" i="104"/>
  <c r="H129" i="104" s="1"/>
  <c r="G137" i="104"/>
  <c r="H137" i="104" s="1"/>
  <c r="G229" i="104"/>
  <c r="H229" i="104" s="1"/>
  <c r="G225" i="104"/>
  <c r="H225" i="104" s="1"/>
  <c r="G105" i="104"/>
  <c r="H105" i="104" s="1"/>
  <c r="G121" i="104"/>
  <c r="H121" i="104" s="1"/>
  <c r="G214" i="104"/>
  <c r="H214" i="104" s="1"/>
  <c r="G136" i="104"/>
  <c r="H136" i="104" s="1"/>
  <c r="G125" i="104"/>
  <c r="H125" i="104" s="1"/>
  <c r="G219" i="104"/>
  <c r="H219" i="104" s="1"/>
  <c r="G252" i="104"/>
  <c r="H252" i="104" s="1"/>
  <c r="G210" i="104"/>
  <c r="H210" i="104" s="1"/>
  <c r="G124" i="104"/>
  <c r="H124" i="104" s="1"/>
  <c r="G224" i="104"/>
  <c r="H224" i="104" s="1"/>
  <c r="G218" i="104"/>
  <c r="H218" i="104" s="1"/>
  <c r="G213" i="104"/>
  <c r="H213" i="104" s="1"/>
  <c r="G226" i="104"/>
  <c r="H226" i="104" s="1"/>
  <c r="G139" i="104"/>
  <c r="H139" i="104" s="1"/>
  <c r="G123" i="104"/>
  <c r="H123" i="104" s="1"/>
  <c r="G232" i="104"/>
  <c r="H232" i="104" s="1"/>
  <c r="G220" i="104"/>
  <c r="H220" i="104" s="1"/>
  <c r="G211" i="104"/>
  <c r="H211" i="104" s="1"/>
  <c r="G130" i="104"/>
  <c r="H130" i="104" s="1"/>
  <c r="G223" i="104"/>
  <c r="H223" i="104" s="1"/>
  <c r="G212" i="104"/>
  <c r="H212" i="104" s="1"/>
  <c r="G131" i="104"/>
  <c r="H131" i="104" s="1"/>
  <c r="G69" i="104"/>
  <c r="H69" i="104" s="1"/>
  <c r="G110" i="104"/>
  <c r="H110" i="104" s="1"/>
  <c r="G94" i="104"/>
  <c r="H94" i="104" s="1"/>
  <c r="G67" i="104"/>
  <c r="H67" i="104" s="1"/>
  <c r="G91" i="104"/>
  <c r="H91" i="104" s="1"/>
  <c r="G103" i="104"/>
  <c r="H103" i="104" s="1"/>
  <c r="G68" i="104"/>
  <c r="H68" i="104" s="1"/>
  <c r="G100" i="104"/>
  <c r="H100" i="104" s="1"/>
  <c r="G99" i="104"/>
  <c r="H99" i="104" s="1"/>
  <c r="G70" i="104"/>
  <c r="H70" i="104" s="1"/>
  <c r="G95" i="104"/>
  <c r="H95" i="104" s="1"/>
  <c r="G66" i="104"/>
  <c r="H66" i="104" s="1"/>
  <c r="G112" i="104"/>
  <c r="H112" i="104" s="1"/>
  <c r="G92" i="104"/>
  <c r="H92" i="104" s="1"/>
  <c r="G93" i="104"/>
  <c r="H93" i="104" s="1"/>
  <c r="G109" i="104"/>
  <c r="H109" i="104" s="1"/>
  <c r="G102" i="104"/>
  <c r="H102" i="104" s="1"/>
  <c r="G89" i="104"/>
  <c r="H89" i="104" s="1"/>
  <c r="G101" i="104"/>
  <c r="H101" i="104" s="1"/>
  <c r="G36" i="104"/>
  <c r="H36" i="104" s="1"/>
  <c r="G37" i="104"/>
  <c r="H37" i="104" s="1"/>
  <c r="G38" i="104"/>
  <c r="H38" i="104" s="1"/>
  <c r="A19" i="36"/>
  <c r="B22" i="36"/>
  <c r="B24" i="36"/>
  <c r="A23" i="36"/>
  <c r="A11" i="36"/>
  <c r="B19" i="36"/>
  <c r="A16" i="36"/>
  <c r="B20" i="36"/>
  <c r="B17" i="36"/>
  <c r="B11" i="36"/>
  <c r="B12" i="36"/>
  <c r="A20" i="36"/>
  <c r="A15" i="36"/>
  <c r="B25" i="36"/>
  <c r="A12" i="36"/>
  <c r="B16" i="36"/>
  <c r="A14" i="36"/>
  <c r="A21" i="36"/>
  <c r="B15" i="36"/>
  <c r="A13" i="36"/>
  <c r="B14" i="36"/>
  <c r="A18" i="36"/>
  <c r="B21" i="36"/>
  <c r="B10" i="36"/>
  <c r="A22" i="36"/>
  <c r="A17" i="36"/>
  <c r="A10" i="36"/>
  <c r="B13" i="36"/>
  <c r="B18" i="36"/>
  <c r="B23" i="36"/>
  <c r="H63" i="104" l="1"/>
  <c r="H58" i="104"/>
  <c r="H253" i="104"/>
  <c r="H245" i="104"/>
  <c r="H157" i="104"/>
  <c r="H200" i="104"/>
  <c r="H169" i="104"/>
  <c r="H179" i="104"/>
  <c r="H153" i="104"/>
  <c r="H96" i="104"/>
  <c r="H132" i="104"/>
  <c r="H249" i="104"/>
  <c r="D24" i="36" s="1"/>
  <c r="H145" i="104"/>
  <c r="H106" i="104"/>
  <c r="H75" i="104"/>
  <c r="H51" i="104"/>
  <c r="H233" i="104"/>
  <c r="H126" i="104"/>
  <c r="H116" i="104"/>
  <c r="H83" i="104"/>
  <c r="H85" i="104" s="1"/>
  <c r="H133" i="104" l="1"/>
  <c r="D19" i="36" s="1"/>
  <c r="D12" i="36"/>
  <c r="H202" i="104"/>
  <c r="D15" i="36"/>
  <c r="F24" i="36"/>
  <c r="H24" i="36"/>
  <c r="J24" i="36"/>
  <c r="D25" i="36"/>
  <c r="F25" i="36" l="1"/>
  <c r="J25" i="36"/>
  <c r="H25" i="36"/>
  <c r="D20" i="36" l="1"/>
  <c r="J20" i="36" l="1"/>
  <c r="H20" i="36"/>
  <c r="F20" i="36"/>
  <c r="D16" i="36" l="1"/>
  <c r="J16" i="36" l="1"/>
  <c r="F16" i="36"/>
  <c r="D17" i="36"/>
  <c r="H16" i="36"/>
  <c r="J17" i="36" l="1"/>
  <c r="H17" i="36"/>
  <c r="F17" i="36"/>
  <c r="D14" i="36" l="1"/>
  <c r="F14" i="36" l="1"/>
  <c r="H14" i="36"/>
  <c r="J14" i="36"/>
  <c r="D11" i="36" l="1"/>
  <c r="D22" i="36"/>
  <c r="H11" i="36" l="1"/>
  <c r="F11" i="36"/>
  <c r="J11" i="36"/>
  <c r="F22" i="36"/>
  <c r="H22" i="36"/>
  <c r="J22" i="36"/>
  <c r="D23" i="36" l="1"/>
  <c r="J23" i="36" l="1"/>
  <c r="H23" i="36"/>
  <c r="F23" i="36"/>
  <c r="F15" i="36" l="1"/>
  <c r="F12" i="36"/>
  <c r="H12" i="36"/>
  <c r="J12" i="36"/>
  <c r="J15" i="36"/>
  <c r="H15" i="36"/>
  <c r="D21" i="36" l="1"/>
  <c r="J19" i="36" l="1"/>
  <c r="J21" i="36"/>
  <c r="H21" i="36"/>
  <c r="F21" i="36"/>
  <c r="F19" i="36"/>
  <c r="H19" i="36"/>
  <c r="D13" i="36"/>
  <c r="F13" i="36" l="1"/>
  <c r="J13" i="36"/>
  <c r="H13" i="36"/>
  <c r="D18" i="36" l="1"/>
  <c r="F18" i="36" l="1"/>
  <c r="H18" i="36"/>
  <c r="J18" i="36"/>
  <c r="H39" i="104" l="1"/>
  <c r="H256" i="104" l="1"/>
  <c r="I88" i="104" s="1"/>
  <c r="D10" i="36"/>
  <c r="I143" i="104" l="1"/>
  <c r="I231" i="104"/>
  <c r="I167" i="104"/>
  <c r="I168" i="104"/>
  <c r="I61" i="104"/>
  <c r="I166" i="104"/>
  <c r="I208" i="104"/>
  <c r="I206" i="104"/>
  <c r="I227" i="104"/>
  <c r="I216" i="104"/>
  <c r="I218" i="104"/>
  <c r="I219" i="104"/>
  <c r="I211" i="104"/>
  <c r="I215" i="104"/>
  <c r="I226" i="104"/>
  <c r="I207" i="104"/>
  <c r="I224" i="104"/>
  <c r="I223" i="104"/>
  <c r="I56" i="104"/>
  <c r="I222" i="104"/>
  <c r="I212" i="104"/>
  <c r="I213" i="104"/>
  <c r="I220" i="104"/>
  <c r="I57" i="104"/>
  <c r="I54" i="104"/>
  <c r="I221" i="104"/>
  <c r="I225" i="104"/>
  <c r="I45" i="104"/>
  <c r="I58" i="104"/>
  <c r="I228" i="104"/>
  <c r="I205" i="104"/>
  <c r="I217" i="104"/>
  <c r="I149" i="104"/>
  <c r="I214" i="104"/>
  <c r="I210" i="104"/>
  <c r="I209" i="104"/>
  <c r="I55" i="104"/>
  <c r="I62" i="104"/>
  <c r="I46" i="104"/>
  <c r="I44" i="104"/>
  <c r="I42" i="104"/>
  <c r="I50" i="104"/>
  <c r="I43" i="104"/>
  <c r="I48" i="104"/>
  <c r="I47" i="104"/>
  <c r="I49" i="104"/>
  <c r="I178" i="104"/>
  <c r="I90" i="104"/>
  <c r="I111" i="104"/>
  <c r="I72" i="104"/>
  <c r="I71" i="104"/>
  <c r="I39" i="104"/>
  <c r="I37" i="104"/>
  <c r="I132" i="104"/>
  <c r="I229" i="104"/>
  <c r="I67" i="104"/>
  <c r="I237" i="104"/>
  <c r="I144" i="104"/>
  <c r="I191" i="104"/>
  <c r="I245" i="104"/>
  <c r="I36" i="104"/>
  <c r="I112" i="104"/>
  <c r="I73" i="104"/>
  <c r="I126" i="104"/>
  <c r="I81" i="104"/>
  <c r="I248" i="104"/>
  <c r="I79" i="104"/>
  <c r="I94" i="104"/>
  <c r="I105" i="104"/>
  <c r="I38" i="104"/>
  <c r="I103" i="104"/>
  <c r="I164" i="104"/>
  <c r="I91" i="104"/>
  <c r="I152" i="104"/>
  <c r="I70" i="104"/>
  <c r="I80" i="104"/>
  <c r="I66" i="104"/>
  <c r="I189" i="104"/>
  <c r="I92" i="104"/>
  <c r="I239" i="104"/>
  <c r="I120" i="104"/>
  <c r="I190" i="104"/>
  <c r="I110" i="104"/>
  <c r="I188" i="104"/>
  <c r="I99" i="104"/>
  <c r="I192" i="104"/>
  <c r="I184" i="104"/>
  <c r="I115" i="104"/>
  <c r="I122" i="104"/>
  <c r="I198" i="104"/>
  <c r="I176" i="104"/>
  <c r="I124" i="104"/>
  <c r="I35" i="104"/>
  <c r="I142" i="104"/>
  <c r="I150" i="104"/>
  <c r="I243" i="104"/>
  <c r="I241" i="104"/>
  <c r="I174" i="104"/>
  <c r="I199" i="104"/>
  <c r="I232" i="104"/>
  <c r="I113" i="104"/>
  <c r="I123" i="104"/>
  <c r="I175" i="104"/>
  <c r="I249" i="104"/>
  <c r="I182" i="104"/>
  <c r="I252" i="104"/>
  <c r="I163" i="104"/>
  <c r="I183" i="104"/>
  <c r="I83" i="104"/>
  <c r="I177" i="104"/>
  <c r="I173" i="104"/>
  <c r="I82" i="104"/>
  <c r="I131" i="104"/>
  <c r="I140" i="104"/>
  <c r="I93" i="104"/>
  <c r="I187" i="104"/>
  <c r="I129" i="104"/>
  <c r="I89" i="104"/>
  <c r="I104" i="104"/>
  <c r="I102" i="104"/>
  <c r="I51" i="104"/>
  <c r="I230" i="104"/>
  <c r="I95" i="104"/>
  <c r="I162" i="104"/>
  <c r="I151" i="104"/>
  <c r="I121" i="104"/>
  <c r="I136" i="104"/>
  <c r="I244" i="104"/>
  <c r="I202" i="104"/>
  <c r="I157" i="104"/>
  <c r="I240" i="104"/>
  <c r="I165" i="104"/>
  <c r="I139" i="104"/>
  <c r="I153" i="104"/>
  <c r="I125" i="104"/>
  <c r="I106" i="104"/>
  <c r="I109" i="104"/>
  <c r="I133" i="104"/>
  <c r="I238" i="104"/>
  <c r="I185" i="104"/>
  <c r="I137" i="104"/>
  <c r="I75" i="104"/>
  <c r="I69" i="104"/>
  <c r="I85" i="104"/>
  <c r="I197" i="104"/>
  <c r="I156" i="104"/>
  <c r="I116" i="104"/>
  <c r="I130" i="104"/>
  <c r="I179" i="104"/>
  <c r="I195" i="104"/>
  <c r="I194" i="104"/>
  <c r="I186" i="104"/>
  <c r="I74" i="104"/>
  <c r="I169" i="104"/>
  <c r="I172" i="104"/>
  <c r="I101" i="104"/>
  <c r="I68" i="104"/>
  <c r="I200" i="104"/>
  <c r="I138" i="104"/>
  <c r="I253" i="104"/>
  <c r="I242" i="104"/>
  <c r="I96" i="104"/>
  <c r="I160" i="104"/>
  <c r="I161" i="104"/>
  <c r="I236" i="104"/>
  <c r="I233" i="104"/>
  <c r="I145" i="104"/>
  <c r="I63" i="104"/>
  <c r="I193" i="104"/>
  <c r="I100" i="104"/>
  <c r="I114" i="104"/>
  <c r="I141" i="104"/>
  <c r="I196" i="104"/>
  <c r="H10" i="36"/>
  <c r="H26" i="36" s="1"/>
  <c r="D26" i="36"/>
  <c r="C10" i="36" s="1"/>
  <c r="F10" i="36"/>
  <c r="F26" i="36" s="1"/>
  <c r="J10" i="36"/>
  <c r="J26" i="36" s="1"/>
  <c r="C14" i="36" l="1"/>
  <c r="C11" i="36"/>
  <c r="C20" i="36"/>
  <c r="C17" i="36"/>
  <c r="C24" i="36"/>
  <c r="C12" i="36"/>
  <c r="C18" i="36"/>
  <c r="C21" i="36"/>
  <c r="C15" i="36"/>
  <c r="C23" i="36"/>
  <c r="C13" i="36"/>
  <c r="C25" i="36"/>
  <c r="C22" i="36"/>
  <c r="C19" i="36"/>
  <c r="C16" i="36"/>
  <c r="I26" i="36"/>
  <c r="F27" i="36"/>
  <c r="H27" i="36" s="1"/>
  <c r="J27" i="36" s="1"/>
  <c r="E26" i="36"/>
  <c r="E27" i="36" s="1"/>
  <c r="G26" i="36"/>
  <c r="C26" i="36" l="1"/>
  <c r="G27" i="36"/>
  <c r="I27" i="36" s="1"/>
</calcChain>
</file>

<file path=xl/sharedStrings.xml><?xml version="1.0" encoding="utf-8"?>
<sst xmlns="http://schemas.openxmlformats.org/spreadsheetml/2006/main" count="880" uniqueCount="544">
  <si>
    <t>M2</t>
  </si>
  <si>
    <t>R$ UNIT. BDI</t>
  </si>
  <si>
    <t>ITEM</t>
  </si>
  <si>
    <t>CÓDIGO</t>
  </si>
  <si>
    <t>QUANTIDADE</t>
  </si>
  <si>
    <t>R$ UNIT.</t>
  </si>
  <si>
    <t>R$ TOTAL</t>
  </si>
  <si>
    <t>UN</t>
  </si>
  <si>
    <t>%</t>
  </si>
  <si>
    <t>SUBTOTAL</t>
  </si>
  <si>
    <t>ESTRUTURA</t>
  </si>
  <si>
    <t>M3</t>
  </si>
  <si>
    <t>KG</t>
  </si>
  <si>
    <t>REATERRO MANUAL DE VALA</t>
  </si>
  <si>
    <t>M</t>
  </si>
  <si>
    <t>COBERTURA</t>
  </si>
  <si>
    <t>ALVENARIA</t>
  </si>
  <si>
    <t>REVESTIMENTO</t>
  </si>
  <si>
    <t>DIVERSOS</t>
  </si>
  <si>
    <t>DIVISÓRIA EM GRANITO CINZA ANDORINHA E = 3 CM, INCLUSIVE FERRAGENS EM LATÃO CROMADO</t>
  </si>
  <si>
    <t>PINTURA</t>
  </si>
  <si>
    <t>INSTALAÇÕES HIDROSSANITÁRIAS</t>
  </si>
  <si>
    <t>INSTALAÇÕES ELÉTRICAS</t>
  </si>
  <si>
    <t>INSTALAÇÕES DE COMBATE A INCÊNDIO</t>
  </si>
  <si>
    <t>SERVIÇOS FINAIS</t>
  </si>
  <si>
    <t>TOTAL DA OBRA</t>
  </si>
  <si>
    <t>ASSENTO BRANCO PARA VASO</t>
  </si>
  <si>
    <t>PAPELEIRA METÁLICA CROMADA, INCLUSIVE FIXAÇÃO</t>
  </si>
  <si>
    <t>EXTINTOR DE INCÊNDIO TIPO PÓ QUÍMICO 2-A:20-B:C, CAPACIDADE 6 KG</t>
  </si>
  <si>
    <t>PREFEITURA MUNICIPAL DE PATROCÍNIO</t>
  </si>
  <si>
    <t>Discriminação dos Serviços</t>
  </si>
  <si>
    <t>Peso %</t>
  </si>
  <si>
    <t>Valor R$</t>
  </si>
  <si>
    <t>R$</t>
  </si>
  <si>
    <t>TOTAL SIMPLES</t>
  </si>
  <si>
    <t>TOTAL ACUMULADO</t>
  </si>
  <si>
    <t>CABIDE METÁLICO SIMPLES CROMADO, INCLUSIVE FIXAÇÃO</t>
  </si>
  <si>
    <t xml:space="preserve">Composição do BDI </t>
  </si>
  <si>
    <t>Intervalos admissíveis sem Justificativa</t>
  </si>
  <si>
    <t>Composição de BDI Adotada</t>
  </si>
  <si>
    <t>Administração Central (AC)</t>
  </si>
  <si>
    <t>De 3,0 % até 5,50%</t>
  </si>
  <si>
    <t>BDI=((((1+AC+SG+R)*(1+DF)*(1+L))/(1-(I+CPRB)))-1)*100</t>
  </si>
  <si>
    <t>Lucro (L)</t>
  </si>
  <si>
    <t>De 6,16 % até 8,96%</t>
  </si>
  <si>
    <t>Despesas Financeiras (DF)</t>
  </si>
  <si>
    <t>De 0,59 % até 1,39%</t>
  </si>
  <si>
    <t>Seguros (S)  e Garantias (G)</t>
  </si>
  <si>
    <t>De0,80 % até1,0%</t>
  </si>
  <si>
    <t xml:space="preserve">Riscos (R) </t>
  </si>
  <si>
    <t>De 0,97 % até 1,27%</t>
  </si>
  <si>
    <t>Tributos(I)</t>
  </si>
  <si>
    <t xml:space="preserve">Observação:  Composição do BDI, intervalos admissíveis e Fórmula de Cálculo nos termos do Acórdão 2622/2013 – TCU </t>
  </si>
  <si>
    <t>De 1,30 % até 5,20%</t>
  </si>
  <si>
    <t>De 1,75% até 4,10%</t>
  </si>
  <si>
    <t>De 0,50% até 1,00%</t>
  </si>
  <si>
    <t>De 0,25 % até 0,88%</t>
  </si>
  <si>
    <t>Seguros (S), Riscos e Garantias (G)</t>
  </si>
  <si>
    <t>BDI PARA DEMAIS SERVIÇOS</t>
  </si>
  <si>
    <t>O</t>
  </si>
  <si>
    <t>DESCRIÇÃO DOS SERVIÇOS</t>
  </si>
  <si>
    <t>UNIDADE</t>
  </si>
  <si>
    <t>REVESTIMENTO DE PAREDES INTERNAS E EXTERNAS</t>
  </si>
  <si>
    <t>CJ</t>
  </si>
  <si>
    <t>CRONOGRAMA FÍSICO FINANCEIRO - GERAL DA OBRA</t>
  </si>
  <si>
    <t xml:space="preserve">ISS=0,00%,PIS=0,65%,CONFINS=3,00%E CPRB=4,50% </t>
  </si>
  <si>
    <t>PLANILHA ORÇAMENTÁRIA</t>
  </si>
  <si>
    <t>TOTAL ITEM 1</t>
  </si>
  <si>
    <t>TOTAL ITEM 9</t>
  </si>
  <si>
    <t>TOTAL ITEM 7</t>
  </si>
  <si>
    <t>PINTURA INTERNA E EXTERNA</t>
  </si>
  <si>
    <t>PINTURA EM MADEIRA E SUPERFÍCIES METÁLICAS</t>
  </si>
  <si>
    <t>TOTAL ITEM 11</t>
  </si>
  <si>
    <t>TOTAL ITEM 10</t>
  </si>
  <si>
    <t>TOTAL ITEM 4</t>
  </si>
  <si>
    <t>TOTAL ITEM 5</t>
  </si>
  <si>
    <t>TOTAL ITEM 6</t>
  </si>
  <si>
    <t>TOTAL ITEM 8</t>
  </si>
  <si>
    <t>TOTAL ITEM 12</t>
  </si>
  <si>
    <t>TOTAL ITEM 15</t>
  </si>
  <si>
    <t>TOTAL ITEM 17</t>
  </si>
  <si>
    <t>INSTALAÇÕES DE GASES</t>
  </si>
  <si>
    <t>TOTAL ITEM 20</t>
  </si>
  <si>
    <t>VÁLVULAS, REGISTROS E BOMBAS</t>
  </si>
  <si>
    <t>ACESSÓRIOS HIDRÁULICOS</t>
  </si>
  <si>
    <t>ED-50152</t>
  </si>
  <si>
    <t>FORNECIMENTO E COLOCAÇÃO DE PLACA DE OBRA EM CHAPA GALVANIZADA (3,00 X 1,5 0 M) - EM CHAPA GALVANIZADA 0,26 AFIXADAS COM REBITES 540 E PARAFUSOS 3/8, EM ESTRUTURA METÁLICA VIGA U 2" ENRIJECIDA COM METALON 20 X 20, SUPORTE EM EUCALIPTO AUTOCLAVADO PINTADAS</t>
  </si>
  <si>
    <t>ED-50155</t>
  </si>
  <si>
    <t>BANHEIRO QUÍMICO 110 X 120 X 230 CM COM MANUTENÇÃO</t>
  </si>
  <si>
    <t>MÊS</t>
  </si>
  <si>
    <t>ED-50273</t>
  </si>
  <si>
    <t>LOCAÇÃO DA OBRA (GABARITO)</t>
  </si>
  <si>
    <t>ED-51107</t>
  </si>
  <si>
    <t>ESCAVAÇÃO MANUAL DE VALA COM PROFUNDIDADE MENOR OU IGUAL A 1,5M</t>
  </si>
  <si>
    <t>ED-51093</t>
  </si>
  <si>
    <t>APILOAMENTO DO FUNDO DE VALAS COM SOQUETE</t>
  </si>
  <si>
    <t>ED-51120</t>
  </si>
  <si>
    <t>ED-49798</t>
  </si>
  <si>
    <t>FORNECIMENTO DE CONCRETO ESTRUTURAL, USINADO, COM FCK 25 MPA, INCLUSIVE LANÇAMENTO, ADENSAMENTO E ACABAMENTO (FUNDAÇÃO)</t>
  </si>
  <si>
    <t>ED-48232</t>
  </si>
  <si>
    <t>ALVENARIA DE VEDAÇÃO COM TIJOLO CERÂMICO FURADO, ESP. 14CM, PARA REVESTIMENTO, INCLUSIVE ARGAMASSA PARA ASSENTAMENTO</t>
  </si>
  <si>
    <t>ED-9906</t>
  </si>
  <si>
    <t>CONTRAVERGA EM CONCRETO ESTRUTURAL PARA VÃOS ACIMA DE 150CM, PREPARADO EM OBRA COM BETONEIRA, CONTROLE "A", COM FCK 20 MPA, MOLDADA IN LOCO, INCLUSIVE ARMAÇÃO</t>
  </si>
  <si>
    <t>ED-9907</t>
  </si>
  <si>
    <t>VERGA EM CONCRETO ESTRUTURAL PARA VÃOS ACIMA DE 150CM, PREPARADO EM OBRA COM BETONEIRA, CONTROLE "A", COM FCK 20 MPA, MOLDADA IN LOCO, INCLUSIVE ARMAÇÃO</t>
  </si>
  <si>
    <t>ED-9904</t>
  </si>
  <si>
    <t>VERGA EM CONCRETO ESTRUTURAL PARA VÃOS DE ATÉ 150CM, PREPARADO EM OBRA COM BETONEIRA, CONTROLE "A", COM FCK 20 MPA, MOLDADA IN LOCO, INCLUSIVE ARMAÇÃO</t>
  </si>
  <si>
    <t>ED-48533</t>
  </si>
  <si>
    <t>ED-50973</t>
  </si>
  <si>
    <t>PORTA COMPLETA, ESTRUTURA E MARCO EM CHAPA DOBRADA - 80 X 210 CM</t>
  </si>
  <si>
    <t>ED-49611</t>
  </si>
  <si>
    <t>RÉGUA PARA ALIZARES DE 5 X 1 CM DE MADEIRA DE LEI PARA PINTURA COLOCADO</t>
  </si>
  <si>
    <t>ED-49605</t>
  </si>
  <si>
    <t>PORTA EM MADEIRA DE LEI ESPECIAL COMPLETA 80 X 210 CM, COM REVESTIMENTO EM LAMINADO MELAMÍNICO NAS DUAS FACES, INCLUSIVE FERRAGENS E MAÇANETA TIPO ALAVANCA</t>
  </si>
  <si>
    <t>ED-49604</t>
  </si>
  <si>
    <t>PORTA EM MADEIRA DE LEI ESPECIAL COMPLETA 90 X 210 CM, PARA PINTURA, PARA P.N.E., COM PROTEÇÃO INFERIOR EM LAMINADO MELAMÍNICO, INCLUSIVE FERRAGENS E MAÇANETA TIPO ALAVANCA (P2)</t>
  </si>
  <si>
    <t>ED-20603</t>
  </si>
  <si>
    <t>FORNECIMENTO DE ESTRUTURA METÁLICA E ENGRADAMENTO METÁLICO, EM AÇO, PARA TELHADO, EXCLUSIVE TELHA, INCLUSIVE FABRICAÇÃO, TRANSPORTE, MONTAGEM E APLICAÇÃO DE FUNDO PREPARADOR ANTICORROSIVO EM SUPERFÍCIE METÁLICA, UMA (1) DEMÃO</t>
  </si>
  <si>
    <t>ED-50600</t>
  </si>
  <si>
    <t>APLICAÇÃO DE LONA PRETA, ESP. 150 MICRAS, INCLUSIVE FORNECIMENTO</t>
  </si>
  <si>
    <t>ED-50569</t>
  </si>
  <si>
    <t>CONTRAPISO DESEMPENADO COM ARGAMASSA, TRAÇO 1:3 (CIMENTO E AREIA), ESP. 50MM</t>
  </si>
  <si>
    <t>ED-50754</t>
  </si>
  <si>
    <t>REVESTIMENTO COM PORCELANATO APLICADO EM PISO, ACABAMENTO POLÍDO, AMBIENTE INTERNO, PADRÃO EXTRA, BORDA RETIFICADA, DIMENSÃO DA PEÇA (60X60CM), ASSENTAMENTO COM ARGAMASSA INDUSTRIALIZADA, INCLUSIVE REJUNTAMENTO</t>
  </si>
  <si>
    <t>ED-17821</t>
  </si>
  <si>
    <t>APLICAÇÃO DE REJUNTE CIMENTÍCIO COLORIDO INDUSTRIALIZADO PARA REVESTIMENTOS DE PAREDE/PISO COM JUNTAS DE ATÉ 1MM DE ESPESSURA</t>
  </si>
  <si>
    <t>ED-50617</t>
  </si>
  <si>
    <t>LIMPEZA E POLIMENTO DE PISO GRANILITE/MARMORITE, EXCLUSIVE RESINA</t>
  </si>
  <si>
    <t>ED-50616</t>
  </si>
  <si>
    <t>PISO EM GRANILITE/MARMORITE, ESP. 8MM, ACABAMENTO LAVADO TIPO FULGET, COR NATURAL, MODULAÇÃO DE 1X1M, INCLUSO JUNTA PLÁSTICA</t>
  </si>
  <si>
    <t>ED-50783</t>
  </si>
  <si>
    <t>RODAPÉ EM GRANILITE/MARMORITE, ACABAMENTO POLIDO, COR CINZA, ALTURA 10CM, INCLUSIVE POLIMENTO</t>
  </si>
  <si>
    <t>ED-49687</t>
  </si>
  <si>
    <t>FORRO DE GESSO EM PLACAS ACARTONADAS - FGA</t>
  </si>
  <si>
    <t>ED-49688</t>
  </si>
  <si>
    <t>COLOCAÇÃO DE MOLDURA DE GESSO</t>
  </si>
  <si>
    <t>ED-50514</t>
  </si>
  <si>
    <t>PREPARAÇÃO PARA EMASSAMENTO OU PINTURA (LÁTEX/ACRÍLICA) EM PAREDE, INCLUSIVE UMA (1) DEMÃO DE SELADOR ACRÍLICO</t>
  </si>
  <si>
    <t>ED-50486</t>
  </si>
  <si>
    <t>EMASSAMENTO EM FORRO DE GESSO COM MASSA CORRIDA (PVA), UMA (1) DEMÃO, INCLUSIVE LIXAMENTO PARA PINTURA</t>
  </si>
  <si>
    <t>ED-50478</t>
  </si>
  <si>
    <t>EMASSAMENTO EM PAREDE COM MASSA CORRIDA (PVA), DUAS (2) DEMÃOS, INCLUSIVE LIXAMENTO PARA PINTURA</t>
  </si>
  <si>
    <t>ED-50498</t>
  </si>
  <si>
    <t>ED-50451</t>
  </si>
  <si>
    <t>PINTURA ACRÍLICA EM PAREDE, DUAS (2) DEMÃOS, EXCLUSIVE SELADOR ACRÍLICO E MASSA ACRÍLICA/CORRIDA (PVA)</t>
  </si>
  <si>
    <t>ED-50482</t>
  </si>
  <si>
    <t>EMASSAMENTO EM ESQUADRIA DE MADEIRA COM MASSA A ÓLEO, DUAS (2) DEMÃOS, INCLUSIVE LIXAMENTO PARA PINTURA  A ÓLEO OU ESMALTE</t>
  </si>
  <si>
    <t>ED-50527</t>
  </si>
  <si>
    <t>PINTURA COM VERNIZ SINTÉTICO MARÍTIMO EM ESQUADRIAS DE MADEIRA, DUAS (2) DEMÃOS, ACABAMENTO TIPO ACETINADO (BRILHO SÚTIL)</t>
  </si>
  <si>
    <t>ED-50491</t>
  </si>
  <si>
    <t>PINTURA ESMALTE EM ESQUADRIAS DE FERRO, DUAS (2) DEMÃOS, INCLUSIVE UMA (1) DEMÃO DE FUNDO ANTICORROSIVO</t>
  </si>
  <si>
    <t>ED-9917</t>
  </si>
  <si>
    <t>PINTURA EPÓXI EM PAREDE, DUAS (2) DEMÃOS, EXCLUSIVE SELADOR ACRÍLICO E MASSA ACRÍLICA/CORRIDA (PVA)</t>
  </si>
  <si>
    <t>ED-50997</t>
  </si>
  <si>
    <t>PEITORIL DE GRANITO CINZA ANDORINHA E = 2 CM</t>
  </si>
  <si>
    <t>ED-48343</t>
  </si>
  <si>
    <t>BANCADA EM GRANITO CINZA ANDORINHA E = 3 CM, APOIADA EM CONSOLE DE METALON 20 X 30 MM</t>
  </si>
  <si>
    <t>ED-48348</t>
  </si>
  <si>
    <t>RODABANCA/FRONTÃO PARA BANCADA EM GRANITO, COR CINZA ANDORINHA, ESP. 2CM, ALTURA DE 10CM, INCLUSIVE REJUNTAMENTO EM MASSA PLÁSTICA NA COR DA PEDRA</t>
  </si>
  <si>
    <t>ED-21635</t>
  </si>
  <si>
    <t>ED-49187</t>
  </si>
  <si>
    <t>CAIXA DE LIGAÇÃO/PASSAGEM EM PVC RÍGIDO PARA ELETRODUTO, DIMENSÕES 4"X2", EMBUTIDA EM ALVENARIA - FORNECIMENTO E INSTALAÇÃO</t>
  </si>
  <si>
    <t>ED-49191</t>
  </si>
  <si>
    <t>ED-49168</t>
  </si>
  <si>
    <t>CAIXA DE PASSAGEM EM ALVENARIA E TAMPA DE CONCRETO, FUNDO DE BRITA, TIPO 1, 30 X 30 X 40 CM, INCLUSIVE ESCAVAÇÃO, REATERRO E BOTA-FORA</t>
  </si>
  <si>
    <t>ED-49056</t>
  </si>
  <si>
    <t>BOTÃO DE CAMPAINHA, 1 TECL</t>
  </si>
  <si>
    <t>ED-15739</t>
  </si>
  <si>
    <t>CONJUNTO DE DOIS (2) INTERRUPTORES SIMPLES, CORRENTE 10A, TENSÃO 250V, (10A-250V), COM PLACA 4"X2" DE DOIS (2) POSTOS, INCLUSIVE FORNECIMENTO, INSTALAÇÃO, SUPORTE, MÓDULO E PLACA</t>
  </si>
  <si>
    <t>ED-15756</t>
  </si>
  <si>
    <t>CONJUNTO DE DUAS (2) TOMADAS PADRÃO, TRÊS (3) POLOS, CORRENTE 20A, TENSÃO 250V, (2P+T/20A-250V), COM PLACA 4"X2" DE DOIS (2) POSTOS, INCLUSIVE FORNECIMENTO, INSTALAÇÃO, SUPORTE, MÓDULO E PLACA</t>
  </si>
  <si>
    <t>ED-15770</t>
  </si>
  <si>
    <t>CONJUNTO DE UM (1) INTERRUPTOR BIPOLAR SIMPLES, CORRENTE 10A, TENSÃO 250V, (10A-250V) E UMA (1) TOMADA PADRÃO, TRÊS (3) POLOS, CORRENTE 20A, TENSÃO 250V, (2P+T/20A-250V), COM PLACA 4"X2" DE DOIS (2) POSTOS, INCLUSIVE FORNECIMENTO, INSTALAÇÃO, SUPORTE, MÓDULO E PLACA</t>
  </si>
  <si>
    <t>ED-15733</t>
  </si>
  <si>
    <t>CONJUNTO DE UM (1) INTERRUPTOR SIMPLES, CORRENTE 10A, TENSÃO 250V, (10A-250V), COM PLACA 4"X2" DE UM (1) POSTO, INCLUSIVE FORNECIMENTO, INSTALAÇÃO, SUPORTE, MÓDULO E PLACA</t>
  </si>
  <si>
    <t>ED-15763</t>
  </si>
  <si>
    <t>CONJUNTO DE UM (1) MÓDULO COM FURO PARA SAÍDA DE FIO Ø10MM, COM PLACA 4"X2" DE UM (1) POSTO, INCLUSIVE FORNECIMENTO, INSTALAÇÃO, SUPORTE, MÓDULO E PLACA</t>
  </si>
  <si>
    <t>ED-49414</t>
  </si>
  <si>
    <t>ELETRODUTO FLEXÍVEL CORRUGADO, PVC, ANTI-CHAMA, DN 25MM (3/4"), APLICADO EM ALVENARIA, INCLUSIVE RASGO</t>
  </si>
  <si>
    <t>ED-17935</t>
  </si>
  <si>
    <t>SONDAGEM DE ELETRODUTO/DUTOS COM ARAME GALVANIZADO, DIÂMETRO DO FIO 1,24MM, 18 BWG, INCLUSIVE FORNECIMENTO E INSTALAÇÃO</t>
  </si>
  <si>
    <t>ED-13345</t>
  </si>
  <si>
    <t>LUMINÁRIA ARANDELA TIPO MEIA-LUA COMPLETA, DIÂMETRO 25 CM, PARA UMA (1) LÂMPADA LED, POTÊNCIA 15W, BULBO A65, FORNECIMENTO E INSTALAÇÃO, INCLUSIVE BASE E LÂMPADA</t>
  </si>
  <si>
    <t>ED-13357</t>
  </si>
  <si>
    <t>LUMINÁRIA PLAFON REDONDO DE VIDRO JATEADO REDONDO COMPLETA, DIÂMETRO 25 CM, PARA UMA (1) LÂMPADA LED, POTÊNCIA 15W, BULBO A65, FORNECIMENTO E INSTALAÇÃO, INCLUSIVE BASE E LÂMPADA</t>
  </si>
  <si>
    <t>ED-49297</t>
  </si>
  <si>
    <t>DUTO CORRUGADO EM PEAD (POLIETILENO DE ALTA DENSIDADE), PARA PROTEÇÃO DE CABOS SUBTERRÂNEOS DN 75 MM (3")</t>
  </si>
  <si>
    <t>ED-49268</t>
  </si>
  <si>
    <t>DISJUNTOR BIPOLAR TERMOMAGNÉTICO 5KA, DE 10A</t>
  </si>
  <si>
    <t>ED-15114</t>
  </si>
  <si>
    <t>DISJUNTOR DE PROTEÇÃO DIFERENCIAL RESIDUAL (DR), BIPOLAR, TIPO DIN, CORRENTE NOMINAL DE 25A, ALTA SENSIBILIDADE, CORRENTE DIFERENCIAL RESIDUAL NOMINAL COM ATUAÇÃO DE 30MA</t>
  </si>
  <si>
    <t>ED-49228</t>
  </si>
  <si>
    <t>DISJUNTOR MONOPOLAR TERMOMAGNÉTICO 5KA, DE 10A</t>
  </si>
  <si>
    <t>ED-49231</t>
  </si>
  <si>
    <t>DISJUNTOR MONOPOLAR TERMOMAGNÉTICO 5KA, DE 20A</t>
  </si>
  <si>
    <t>ED-49527</t>
  </si>
  <si>
    <t>SUPRESSOR DE SURTO PARA PROTEÇÃO PRIMÁRIA EM QGD, ATÉ 1,5 KV - 5 KA</t>
  </si>
  <si>
    <t>ED-49526</t>
  </si>
  <si>
    <t>SIRENE DE ALTA POTÊNCIA, TIMBRE Ø 150MM, 100DCB</t>
  </si>
  <si>
    <t>ED-50266</t>
  </si>
  <si>
    <t>LIMPEZA FINAL PARA ENTREGA DA OBRA</t>
  </si>
  <si>
    <t>PINTURA LÁTEX (PVA) EM PAREDE, DUAS (2) DEMÃOS, EXCLUSIVE SELADOR ACRÍLICO E MASSA ACRÍLICA/CORRIDA (PVA)</t>
  </si>
  <si>
    <t>TESTEIRA PARA BANCADA EM GRANITO, COR CINZA ANDORINHA, ESP. 2CM, ALTURA DE 5CM, INCLUSIVE POLIMENTO, CORTE/COLAGEM EM MEIA ESQUADARIA E MASSA PLÁSTICA NA COR DA PEDRA</t>
  </si>
  <si>
    <t>ED-50982</t>
  </si>
  <si>
    <t>PORTÃO DE FERRO PADRÃO, EM CHAPA (TIPO LAMBRI), COLOCADO COM CADEADO</t>
  </si>
  <si>
    <t>ED-50034</t>
  </si>
  <si>
    <t>FORNECIMENTO E ASSENTAMENTO DE TUBO PVC RÍGIDO, ESGOTO, PB - SÉRIE NORMAL, DN 40MM (1.1/2"), INCLUSIVE CONEXÕES</t>
  </si>
  <si>
    <t>ED-50029</t>
  </si>
  <si>
    <t>FORNECIMENTO E ASSENTAMENTO DE TUBO PVC RÍGIDO, ESGOTO, PBV - SÉRIE NORMAL, DN 100 MM (4"), INCLUSIVE CONEXÕES</t>
  </si>
  <si>
    <t>ED-50027</t>
  </si>
  <si>
    <t>FORNECIMENTO E ASSENTAMENTO DE TUBO PVC RÍGIDO, ESGOTO, PBV - SÉRIE NORMAL, DN 50 MM (2"), INCLUSIVE CONEXÕES</t>
  </si>
  <si>
    <t>ED-50019</t>
  </si>
  <si>
    <t>FORNECIMENTO E ASSENTAMENTO DE TUBO PVC RÍGIDO SOLDÁVEL, ÁGUA FRIA, DN 25 MM (3/4") , INCLUSIVE CONEXÕES</t>
  </si>
  <si>
    <t>ED-50022</t>
  </si>
  <si>
    <t>FORNECIMENTO E ASSENTAMENTO DE TUBO PVC RÍGIDO SOLDÁVEL, ÁGUA FRIA, DN 50 MM (1.1/2"), INCLUSIVE CONEXÕES</t>
  </si>
  <si>
    <t>ED-50023</t>
  </si>
  <si>
    <t>FORNECIMENTO E ASSENTAMENTO DE TUBO PVC RÍGIDO SOLDÁVEL, ÁGUA FRIA, DN 60 MM (2"), INCLUSIVE CONEXÕES</t>
  </si>
  <si>
    <t>ED-49996</t>
  </si>
  <si>
    <t>REGISTRO DE GAVETA, TIPO BASE,  ROSCÁVEL 1.1/2" (PARA TUBO SOLDÁVEL OU PPR DN 50MM/CPVC DN 42MM), INCLUSIVE ACABAMENTO (PADRÃO POPULAR) E CANOPLA CROMADOS</t>
  </si>
  <si>
    <t>ED-49990</t>
  </si>
  <si>
    <t>REGISTRO DE GAVETA, TIPO BASE,  ROSCÁVEL 3/4" (PARA TUBO SOLDÁVEL OU PPR DN 25MM/CPVC DN 22MM), INCLUSIVE ACABAMENTO (PADRÃO POPULAR) E CANOPLA CROMADOS</t>
  </si>
  <si>
    <t>ED-49978</t>
  </si>
  <si>
    <t>REGISTRO DE GAVETA, TIPO BRUTO,  ROSCÁVEL 1.1/2" (PARA TUBO SOLDÁVEL OU PPR DN 50MM/CPVC DN 42MM), INCLUSIVE VOLANTE PARA ACIONAMENTO</t>
  </si>
  <si>
    <t>ED-49980</t>
  </si>
  <si>
    <t>REGISTRO DE GAVETA, TIPO BRUTO,  ROSCÁVEL 2" (PARA TUBO SOLDÁVEL OU PPR DN 60MM/CPVC DN 54MM), INCLUSIVE VOLANTE PARA ACIONAMENTO</t>
  </si>
  <si>
    <t>ED-49972</t>
  </si>
  <si>
    <t>REGISTRO DE GAVETA, TIPO BRUTO,  ROSCÁVEL 3/4" (PARA TUBO SOLDÁVEL OU PPR DN 25MM/CPVC DN 22MM), INCLUSIVE VOLANTE PARA ACIONAMENTO</t>
  </si>
  <si>
    <t>ED-49966</t>
  </si>
  <si>
    <t>REGISTRO DE PRESSÃO, TIPO BASE,  ROSCÁVEL 3/4" (PARA TUBO SOLDÁVEL OU PPR DN 25MM/CPVC DN 22MM), INCLUSIVE ACABAMENTO (PADRÃO POPULAR) E CANOPLA CROMADOS</t>
  </si>
  <si>
    <t>ED-49883</t>
  </si>
  <si>
    <t>CAIXA DE ESGOTO DE INSPEÇÃO/PASSAGEM EM ALVENARIA (60X60X60CM), REVESTIMENTO EM ARGAMASSA COM ADITIVO IMPERMEABILIZANTE, COM TAMPA DE CONCRETO, INCLUSIVE ESCAVAÇÃO, REATERRO E TRANSPORTE E RETIRADA DO MATERIAL ESCAVADO (EM CAÇAMBA)</t>
  </si>
  <si>
    <t>ED-50193</t>
  </si>
  <si>
    <t>ED-50206</t>
  </si>
  <si>
    <t>PLACA FOTOLUMINESCENTE "A2" - TRIÂNGULO 300 MM (RISCO INCÊNDIO)</t>
  </si>
  <si>
    <t>ED-50199</t>
  </si>
  <si>
    <t>PLACA FOTOLUMINESCENTE "E5" - 300 X 300 MM</t>
  </si>
  <si>
    <t>ED-50207</t>
  </si>
  <si>
    <t>PLACA FOTOLUMINESCENTE "P2" - D = 300 MM (PROIBIDO PRODUZIR CHAMA)</t>
  </si>
  <si>
    <t>ED-50201</t>
  </si>
  <si>
    <t>PLACA FOTOLUMINESCENTE "S1" OU "S2"- 380 X 190 MM (SAÍDA - DIREITA)</t>
  </si>
  <si>
    <t>ED-50202</t>
  </si>
  <si>
    <t>PLACA FOTOLUMINESCENTE "S1" OU "S2"- 380 X 190 MM (SAÍDA - ESQUERDA)</t>
  </si>
  <si>
    <t>ED-50205</t>
  </si>
  <si>
    <t>PLACA FOTOLUMINESCENTE "S12" - 380 X 190 MM (SAÍDA)</t>
  </si>
  <si>
    <t>ESQUADRIAS / VIDROS</t>
  </si>
  <si>
    <t>ED-51150</t>
  </si>
  <si>
    <t>ESPELHO (60 X 90) CM, E = 4 MM, COLOCADO COM PARAFUSO FINESSON</t>
  </si>
  <si>
    <t>ED-51159</t>
  </si>
  <si>
    <t>VIDRO TEMPERADO INCOLOR, ESP. 8MM, INCLUSIVE FIXAÇÃO E VEDAÇÃO COM GUARNIÇÃO/GAXETA DE BORRACHA NEOPRENE, FORNECIMENTO E INSTALAÇÃO, EXCLUSIVE CAIXILHO/PERFIL</t>
  </si>
  <si>
    <t>ED-50727</t>
  </si>
  <si>
    <t>CHAPISCO COM ARGAMASSA, TRAÇO 1:3 (CIMENTO E AREIA), ESP. 5MM, APLICADO EM ALVENARIA/ESTRUTURA DE CONCRETO COM COLHER, PREPARO MECÂNICO</t>
  </si>
  <si>
    <t>ED-50732</t>
  </si>
  <si>
    <t>EMBOÇO COM ARGAMASSA, TRAÇO 1:6 (CIMENTO E AREIA), ESP. 20MM, APLICAÇÃO MANUAL, PREPARO MECÂNICO</t>
  </si>
  <si>
    <t>ED-50761</t>
  </si>
  <si>
    <t>REBOCO COM ARGAMASSA, TRAÇO 1:2:8 (CIMENTO, CAL E AREIA), ESP. 20MM, APLICAÇÃO MANUAL, PREPARO MECÂNICO</t>
  </si>
  <si>
    <t>ED-50924</t>
  </si>
  <si>
    <t>ALÇAPÃO 80 X 80 CM COM COM QUADRO DE CANTONEIRA METÁLICA 1"X 1/8", TAMPA EM CANTONEIRA 7/8"X 1/8" E CHAPA METÁLICA ENRIJECIDA POR PERFIL "T</t>
  </si>
  <si>
    <t>ED-50278</t>
  </si>
  <si>
    <t>CUBA EM AÇO INOXIDÁVEL DE EMBUTIR, AISI 304, APLICAÇÃO PARA PIA (560X330X115MM), NÚMERO 2, ASSENTAMENTO EM BANCADA, INCLUSIVE VÁLVULA DE ESCOAMENTO DE METAL COM ACABAMENTO CROMADO, SIFÃO DE METAL TIPO COPO COM ACABAMENTO CROMADO, FORNECIMENTO E INSTALAÇÃO</t>
  </si>
  <si>
    <t>ED-50279</t>
  </si>
  <si>
    <t>CUBA DE LOUÇA BRANCA DE EMBUTIR, FORMATO OVAL, INCLUSIVE VÁLVULA DE ESCOAMENTO DE METAL COM ACABAMENTO CROMADO, SIFÃO DE METAL TIPO COPO COM ACABAMENTO CROMADO, FORNECIMENTO E INSTALAÇÃO</t>
  </si>
  <si>
    <t>ED-50289</t>
  </si>
  <si>
    <t>TANQUE DE LOUÇA BRANCA COM COLUNA, CAPACIDADE 22 LITROS, INCLUSIVE ACESSÓRIOS DE FIXAÇÃO, FORNECIMENTO, INSTALAÇÃO E REJUNTAMENTO, EXCLUSIVE TORNEIRA, VÁLVULA DE ESCOAMENTO E SIFÃO</t>
  </si>
  <si>
    <t>ED-50330</t>
  </si>
  <si>
    <t>TORNEIRA METÁLICA PARA LAVATÓRIO, ACABAMENTO CROMADO, COM AREJADOR, APLICAÇÃO DE MESA, INCLUSIVE ENGATE FLEXÍVEL METÁLICO, FORNECIMENTO E INSTALAÇÃO</t>
  </si>
  <si>
    <t>ED-50324</t>
  </si>
  <si>
    <t>TORNEIRA METÁLICA PARA PIA, BICA MÓVEL, ACABAMENTO CROMADO, COM AREJADOR, APLICAÇÃO DE MESA, INCLUSIVE ENGATE FLEXÍVEL METÁLICO, FORNECIMENTO E INSTALAÇÃO</t>
  </si>
  <si>
    <t>ED-50331</t>
  </si>
  <si>
    <t>TORNEIRA METÁLICA PARA TANQUE, ACABAMENTO CROMADO, INCLUSIVE ENGATE FLEXÍVEL METÁLICO, FORNECIMENTO E INSTALAÇÃO</t>
  </si>
  <si>
    <t>ED-50296</t>
  </si>
  <si>
    <t>BACIA SANITÁRIA (VASO) DE LOUÇA CONVENCIONAL, COR BRANCA, INCLUSIVE ACESSÓRIOS DE FIXAÇÃO/VEDAÇÃO, FORNECIMENTO, INSTALAÇÃO E REJUNTAMENTO, EXCLUSIVE VÁLVULA DE DESCARGA E TUBO DE LIGAÇÃO</t>
  </si>
  <si>
    <t>ED-9134</t>
  </si>
  <si>
    <t>BACIA SANITÁRIA (VASO) DE LOUÇA CONVENCIONAL INFANTIL, COR BRANCA, INCLUSIVE ACESSÓRIOS DE FIXAÇÃO/VEDAÇÃO, FORNECIMENTO, INSTALAÇÃO E REJUNTAMENTO, EXCLUSIVE VÁLVULA DE DESCARGA E TUBO DE LIGAÇÃO</t>
  </si>
  <si>
    <t>ED-50316</t>
  </si>
  <si>
    <t>DUCHA HIGIÊNICA COM REGISTRO PARA CONTROLE DE FLUXO DE ÁGUA, DIÂMETRO 1/2" (20MM), INCLUSIVE FORNECIMENTO E INSTALAÇÃO</t>
  </si>
  <si>
    <t>ED-50310</t>
  </si>
  <si>
    <t>BRAÇO PARA CHUVEIRO, COMPRIMENTO 40 CM, DIÂMETRO NOMINAL DE 1/2" (20MM), INCLUSIVE ACABAMENTO</t>
  </si>
  <si>
    <t>ED-50313</t>
  </si>
  <si>
    <t>CHUVEIRO-ELÉTRICO CROMADO 1/2"</t>
  </si>
  <si>
    <t>ED-48156</t>
  </si>
  <si>
    <t>ED-48176</t>
  </si>
  <si>
    <t>ED-48182</t>
  </si>
  <si>
    <t>DISPENSER EM PLÁSTICO PARA PAPEL TOALHA 2 OU 3 FOLHAS</t>
  </si>
  <si>
    <t>ED-48181</t>
  </si>
  <si>
    <t>ED-50319</t>
  </si>
  <si>
    <t>ED-48155</t>
  </si>
  <si>
    <t>DISPENSER PARA GEL/ÁLCOOL COM RESERVATORIO 800 ML</t>
  </si>
  <si>
    <t>ED-48188</t>
  </si>
  <si>
    <t>SABONETEIRA PLASTICA TIPO DISPENSER PARA SABONETE LIQUIDO COM RESERVATORIO 800 ML</t>
  </si>
  <si>
    <t>PARAFUSO CASTELO, NÚMERO 8, INCLUSIVE FORNECIMENTO COM ARRUELA E BUCHA DE NYLON</t>
  </si>
  <si>
    <t>ED-48163</t>
  </si>
  <si>
    <t>BARRA DE APOIO EM AÇO INOX POLIDO RETA, DN 1.1/4" (31,75MM), PARA ACESSIBILIDADE (PMR/PCR), COMPRIMENTO 40CM, INSTALADO EM PORTA/PAREDE, INCLUSIVE FORNECIMENTO, INSTALAÇÃO E ACESSÓRIOS PARA FIXAÇÃO</t>
  </si>
  <si>
    <t>ED-48160</t>
  </si>
  <si>
    <t>BARRA DE APOIO EM AÇO INOX POLIDO RETA, DN 1.1/4" (31,75MM), PARA ACESSIBILIDADE (PMR/PCR), COMPRIMENTO 80CM, INSTALADO EM PAREDE, INCLUSIVE FORNECIMENTO, INSTALAÇÃO E ACESSÓRIOS PARA FIXAÇÃO</t>
  </si>
  <si>
    <t>CAIXA DE LIGAÇÃO/PASSAGEM EM PVC RÍGIDO PARA ELETRODUTO, OCTOGONAL COM ANEL DESLIZANTE, DIMENSÕES 3"X3", EMBUTIDA EM LAJE - FORNECIMENTO E INSTALAÇÃO</t>
  </si>
  <si>
    <t>ED-50226</t>
  </si>
  <si>
    <t>PONTO DE EMBUTIR PARA GÁS EM TUBO DE AÇO GALVANIZADO COM COSTURA, DN 1/2", EMBUTIDO NA ALVENARIA COM DISTÂNCIA DE ATÉ CINCO (5) METROS DO RAMAL DE ABASTECIMENTO, INCLUSIVE CONEXÕES E FIXAÇÃO DO TUBO COM ENCHIMENTO DO RASGO NA ALVENARIA/CONCRETO COM ARGAMASSA</t>
  </si>
  <si>
    <t>ED-49812</t>
  </si>
  <si>
    <t xml:space="preserve">LASTRO DE CONCRETO MAGRO, INCLUSIVE TRANSPORTE, LANÇAMENTO E ADENSAMENTO </t>
  </si>
  <si>
    <t>ED-48298</t>
  </si>
  <si>
    <t>CORTE, DOBRA E MONTAGEM DE AÇO CA-50/60</t>
  </si>
  <si>
    <t>ED-49643</t>
  </si>
  <si>
    <t>FORMA E DESFORMA DE TÁBUA E SARRAFO, REAPROVEITAMENTO (3X), EXCLUSIVE ESCORAMENTO</t>
  </si>
  <si>
    <t>ED-49630</t>
  </si>
  <si>
    <t>FORNECIMENTO DE CONCRETO ESTRUTURAL, USINADO, COM FCK 25 MPA, INCLUSIVE LANÇAMENTO, ADENSAMENTO E ACABAMENTO</t>
  </si>
  <si>
    <t>ED-50704</t>
  </si>
  <si>
    <t>ENCHIMENTO DE RASGO EM ALVENARIA/CONCRETO COM ARGAMASSA, DIÂMETROS DE 15MM A 25MM (1/2" A 1"), INCLUSIVE ARGAMASSA, TRAÇO 1:2:8 (CIMENTO, CAL E AREIA), PREPARO MECÂNICO</t>
  </si>
  <si>
    <t>ED-50705</t>
  </si>
  <si>
    <t>ENCHIMENTO DE RASGO EM ALVENARIA/CONCRETO COM ARGAMASSA, DIÂMETROS DE 32MM A 50MM (1.1/4" A 2"), INCLUSIVE ARGAMASSA, TRAÇO 1:2:8 (CIMENTO, CAL E AREIA), PREPARO MECÂNICO</t>
  </si>
  <si>
    <t>ED-50707</t>
  </si>
  <si>
    <t>RASGO EM ALVENARIA PARA PASSAGEM DE ELETRODUTO/TUBULAÇÃO, DIÂMETROS DE 15MM A 25MM (1/2" A 1"), EXCLUSIVE ENCHIMENTO</t>
  </si>
  <si>
    <t>ED-50708</t>
  </si>
  <si>
    <t>RASGO EM ALVENARIA PARA PASSAGEM DE ELETRODUTO/TUBULAÇÃO, DIÂMETROS DE 32MM A 50MM (1.1/4" A 2"), EXCLUSIVE ENCHIMENTO</t>
  </si>
  <si>
    <t>TOTAL ITEM 13</t>
  </si>
  <si>
    <t>TOTAL ITEM 14</t>
  </si>
  <si>
    <t>INFRAESTRUTURA / TERRAPLANAGEM</t>
  </si>
  <si>
    <t>ED-48669</t>
  </si>
  <si>
    <t>FORNECIMENTO E ASSENTAMENTO DE TUBO PVC RÍGIDO, DRENAGEM/PLUVIAL, PBV - SÉRIE NORMAL, DN 100 MM (4"), INCLUSIVE CONEXÕES</t>
  </si>
  <si>
    <t>ÁGUA FRIA</t>
  </si>
  <si>
    <t>ÁGUA PLUVIAL</t>
  </si>
  <si>
    <t>ESGOTO SANITÁRIO</t>
  </si>
  <si>
    <t>PISO / PAVIMENTAÇÃO</t>
  </si>
  <si>
    <t>TOTAL ITEM 19</t>
  </si>
  <si>
    <t>PINTURA COM EMULSÃO ASFÁLTICA, DUAS (2) DEMÃOS</t>
  </si>
  <si>
    <t>ED-50174</t>
  </si>
  <si>
    <t>BDI PARA EQUIPAMENTOS E MOBILIÁRIOS</t>
  </si>
  <si>
    <t>ED-50007</t>
  </si>
  <si>
    <t>CAIXA SIFONADA EM PVC COM GRELHA QUADRADA150 X 150 X 50 MM</t>
  </si>
  <si>
    <t>ED-49957</t>
  </si>
  <si>
    <t>RALO SIFONADO PVC CILINDRICO 100 X 70 X 40 MM COM GRELHA QUADRADA</t>
  </si>
  <si>
    <t>SERVIÇOS INICIAIS / INSTALAÇÕES PROVISÓRIAS / PROJETOS E LEVANTAMENTOS</t>
  </si>
  <si>
    <t>BDI PARA PROJETOS</t>
  </si>
  <si>
    <t>DESCONTO LINEAR</t>
  </si>
  <si>
    <t>Obra / Equip / Projeto</t>
  </si>
  <si>
    <t>1º MÊS</t>
  </si>
  <si>
    <t>2º MÊS</t>
  </si>
  <si>
    <t>3º MÊS</t>
  </si>
  <si>
    <t>8.1</t>
  </si>
  <si>
    <t>12.1</t>
  </si>
  <si>
    <t>12.2</t>
  </si>
  <si>
    <t>12.3</t>
  </si>
  <si>
    <t>1.1</t>
  </si>
  <si>
    <t>1.2</t>
  </si>
  <si>
    <t>1.3</t>
  </si>
  <si>
    <t>1.4</t>
  </si>
  <si>
    <t>2.1</t>
  </si>
  <si>
    <t>2.2</t>
  </si>
  <si>
    <t>2.3</t>
  </si>
  <si>
    <t>3.1</t>
  </si>
  <si>
    <t>3.2</t>
  </si>
  <si>
    <t>3.3</t>
  </si>
  <si>
    <t>3.6</t>
  </si>
  <si>
    <t>4.1</t>
  </si>
  <si>
    <t>4.2</t>
  </si>
  <si>
    <t>5.1</t>
  </si>
  <si>
    <t>5.2</t>
  </si>
  <si>
    <t>5.3</t>
  </si>
  <si>
    <t>5.4</t>
  </si>
  <si>
    <t>5.5</t>
  </si>
  <si>
    <t>5.6</t>
  </si>
  <si>
    <t>CABO DE COBRE FLEXÍVEL ISOLADO, 6 MM², ANTI-CHAMA 450/750 V, PARA CIRCUITOS TERMINAIS - FORNECIMENTO E INSTALAÇÃO. AF_12/2015</t>
  </si>
  <si>
    <t>CABO DE COBRE FLEXÍVEL ISOLADO, 2,5 MM², ANTI-CHAMA 450/750 V, PARA CIRCUITOS TERMINAIS - FORNECIMENTO E INSTALAÇÃO. AF_12/2015</t>
  </si>
  <si>
    <t>CABO DE COBRE FLEXÍVEL ISOLADO, 1,5 MM², ANTI-CHAMA 450/750 V, PARA CIRCUITOS TERMINAIS - FORNECIMENTO E INSTALAÇÃO. AF_12/2015</t>
  </si>
  <si>
    <t>VÁLVULA DE DESCARGA METÁLICA, BASE 1 1/2", ACABAMENTO METALICO CROMADO - FORNECIMENTO E INSTALAÇÃO. AF_08/2021</t>
  </si>
  <si>
    <t>15.1</t>
  </si>
  <si>
    <t>15.2</t>
  </si>
  <si>
    <t>15.3</t>
  </si>
  <si>
    <t>15.4</t>
  </si>
  <si>
    <t>15.5</t>
  </si>
  <si>
    <t>15.6</t>
  </si>
  <si>
    <t>15.7</t>
  </si>
  <si>
    <t>15.8</t>
  </si>
  <si>
    <t>15.9</t>
  </si>
  <si>
    <t>EXTINTOR DE INCENDIO PORTATIL COM CARGA DE PQS DE 6KG, CLASSE BC - FORNECIMENTO E INSTALAÇÃO</t>
  </si>
  <si>
    <t>6.1</t>
  </si>
  <si>
    <t>10.1</t>
  </si>
  <si>
    <t>10.2</t>
  </si>
  <si>
    <t>7.1</t>
  </si>
  <si>
    <t>7.2</t>
  </si>
  <si>
    <t>7.3</t>
  </si>
  <si>
    <t>7.4</t>
  </si>
  <si>
    <t>7.5</t>
  </si>
  <si>
    <t>7.6</t>
  </si>
  <si>
    <t>7.7</t>
  </si>
  <si>
    <t>7.8</t>
  </si>
  <si>
    <t>8.2</t>
  </si>
  <si>
    <t>8.3</t>
  </si>
  <si>
    <t>8.4</t>
  </si>
  <si>
    <t>9.1</t>
  </si>
  <si>
    <t>9.2</t>
  </si>
  <si>
    <t>9.3</t>
  </si>
  <si>
    <t>9.4</t>
  </si>
  <si>
    <t>9.5</t>
  </si>
  <si>
    <t>9.6</t>
  </si>
  <si>
    <t>9.7</t>
  </si>
  <si>
    <t>11.1</t>
  </si>
  <si>
    <t>11.2</t>
  </si>
  <si>
    <t>11.3</t>
  </si>
  <si>
    <t>11.4</t>
  </si>
  <si>
    <t>11.5</t>
  </si>
  <si>
    <t>11.6</t>
  </si>
  <si>
    <t>11.7</t>
  </si>
  <si>
    <t>11.8</t>
  </si>
  <si>
    <t>12.1.1</t>
  </si>
  <si>
    <t>12.1.2</t>
  </si>
  <si>
    <t>12.1.3</t>
  </si>
  <si>
    <t>12.1.4</t>
  </si>
  <si>
    <t>12.2.1</t>
  </si>
  <si>
    <t>12.3.1</t>
  </si>
  <si>
    <t>12.3.2</t>
  </si>
  <si>
    <t>12.3.3</t>
  </si>
  <si>
    <t>13.1</t>
  </si>
  <si>
    <t>13.2</t>
  </si>
  <si>
    <t>13.3</t>
  </si>
  <si>
    <t>13.4</t>
  </si>
  <si>
    <t>13.5</t>
  </si>
  <si>
    <t>13.6</t>
  </si>
  <si>
    <t>13.7</t>
  </si>
  <si>
    <t>13.8</t>
  </si>
  <si>
    <t>13.9</t>
  </si>
  <si>
    <t>13.11</t>
  </si>
  <si>
    <t>13.12</t>
  </si>
  <si>
    <t>13.13</t>
  </si>
  <si>
    <t>16.1</t>
  </si>
  <si>
    <t>17.1</t>
  </si>
  <si>
    <t>ESTACA ESCAVADA MECANICAMENTE, SEM FLUIDO ESTABILIZANTE, COM 25CM DE DIÂMETRO, CONCRETO LANÇADO MANUALMENTE.</t>
  </si>
  <si>
    <t xml:space="preserve">ISS=2,00%,PIS=0,65%,CONFINS=3,00%E CPRB=4,50% </t>
  </si>
  <si>
    <t>OBRA: CONSTRUÇÃO DE CENTRO EDUCACIONAL INFANTIL LOCALIZADO À AVENIDA DAS INDUSTRIAS, ESQUINA COM RUA DO COMERCIO, NO DISTRITO DE MACAÚBAS DE CIMA, EM PATROCÍNIO/MG</t>
  </si>
  <si>
    <t>LOCAÇÃO DE CONTAINER COM ISOLAMENTO TÉRMICO, TIPO 3, PARA DEPÓSITO/FERRAMENTARIA DE OBRA, COM MEDIDAS REFERENCIAIS DE (6) METROS COMPRIMENTO, (2,3) METROS LARGURA E (2,5) METROS ALTURA ÚTIL INTERNA, INCLUSIVE LIGAÇÕES ELÉTRICAS INTERNAS, EXCLUSIVE MOBILIZAÇÃO/DESMOBILIZAÇÃO E LIGAÇÕES PROVISÓRIAS EXTERNAS.</t>
  </si>
  <si>
    <t>ED-16350</t>
  </si>
  <si>
    <t>2.4</t>
  </si>
  <si>
    <t>2.5</t>
  </si>
  <si>
    <t>2.6</t>
  </si>
  <si>
    <t>2.7</t>
  </si>
  <si>
    <t>5.7</t>
  </si>
  <si>
    <t>5.8</t>
  </si>
  <si>
    <t>5.9</t>
  </si>
  <si>
    <t>8.5</t>
  </si>
  <si>
    <t>8.6</t>
  </si>
  <si>
    <t>8.7</t>
  </si>
  <si>
    <t>12.4</t>
  </si>
  <si>
    <t>12.5</t>
  </si>
  <si>
    <t>2.8</t>
  </si>
  <si>
    <t>2.9</t>
  </si>
  <si>
    <t>LAJE PRÉ-MOLDADA UNIDIRECIONAL, BIAPOIADA, PARA PISO, ENCHIMENTO EM CERÂMICA, VIGOTA CONVENCIONAL, ALTURA TOTAL DA LAJE (ENCHIMENTO+CAPA) = (8+4).</t>
  </si>
  <si>
    <t>M²</t>
  </si>
  <si>
    <t>6.1.1</t>
  </si>
  <si>
    <t>6.1.2</t>
  </si>
  <si>
    <t>6.1.3</t>
  </si>
  <si>
    <t>6.1.4</t>
  </si>
  <si>
    <t>REVESTIMENTO CERÂMICO PARA PISO COM PLACAS TIPO ESMALTADA EXTRA DE DIMENSÕES 45X45 CM APLICADA EM AMBIENTES DE ÁREA MAIOR QUE 10 M2.</t>
  </si>
  <si>
    <t>10.1.1</t>
  </si>
  <si>
    <t>10.1.2</t>
  </si>
  <si>
    <t>10.1.3</t>
  </si>
  <si>
    <t>10.1.4</t>
  </si>
  <si>
    <t>10.1.5</t>
  </si>
  <si>
    <t>10.1.6</t>
  </si>
  <si>
    <t>10.2.1</t>
  </si>
  <si>
    <t>10.2.2</t>
  </si>
  <si>
    <t>10.2.3</t>
  </si>
  <si>
    <t>12.3.4</t>
  </si>
  <si>
    <t>12.3.5</t>
  </si>
  <si>
    <t>12.3.6</t>
  </si>
  <si>
    <t>12.4.1</t>
  </si>
  <si>
    <t>12.4.2</t>
  </si>
  <si>
    <t>12.4.3</t>
  </si>
  <si>
    <t>12.4.4</t>
  </si>
  <si>
    <t>12.4.5</t>
  </si>
  <si>
    <t>12.4.6</t>
  </si>
  <si>
    <t>12.4.7</t>
  </si>
  <si>
    <t>12.5.1</t>
  </si>
  <si>
    <t>12.5.2</t>
  </si>
  <si>
    <t>12.5.3</t>
  </si>
  <si>
    <t>12.5.4</t>
  </si>
  <si>
    <t>12.5.5</t>
  </si>
  <si>
    <t>12.5.6</t>
  </si>
  <si>
    <t>12.5.7</t>
  </si>
  <si>
    <t>12.5.8</t>
  </si>
  <si>
    <t>12.5.9</t>
  </si>
  <si>
    <t>12.5.10</t>
  </si>
  <si>
    <t>12.5.11</t>
  </si>
  <si>
    <t>12.5.12</t>
  </si>
  <si>
    <t>12.5.13</t>
  </si>
  <si>
    <t>12.5.14</t>
  </si>
  <si>
    <t>12.5.15</t>
  </si>
  <si>
    <t>12.5.16</t>
  </si>
  <si>
    <t>12.5.17</t>
  </si>
  <si>
    <t>12.5.18</t>
  </si>
  <si>
    <t>13.14</t>
  </si>
  <si>
    <t>13.15</t>
  </si>
  <si>
    <t>13.16</t>
  </si>
  <si>
    <t>13.17</t>
  </si>
  <si>
    <t>13.18</t>
  </si>
  <si>
    <t>13.19</t>
  </si>
  <si>
    <t>13.20</t>
  </si>
  <si>
    <t>13.21</t>
  </si>
  <si>
    <t>13.22</t>
  </si>
  <si>
    <t>13.23</t>
  </si>
  <si>
    <t>13.24</t>
  </si>
  <si>
    <t>13.25</t>
  </si>
  <si>
    <t>13.26</t>
  </si>
  <si>
    <t>13.27</t>
  </si>
  <si>
    <t>13.28</t>
  </si>
  <si>
    <t>13.29</t>
  </si>
  <si>
    <t>CABO DE COBRE FLEXÍVEL ISOLADO, 4 MM², ANTI-CHAMA 450/750 V, PARA CIRCUITOS TERMINAIS - FORNECIMENTO E INSTALAÇÃO. AF_12/2015</t>
  </si>
  <si>
    <t>CABO DE COBRE FLEXÍVEL ISOLADO, 16 MM², ANTI-CHAMA 450/750 V, PARA CIRCUITOS TERMINAIS - FORNECIMENTO E INSTALAÇÃO.</t>
  </si>
  <si>
    <t>ED-49274</t>
  </si>
  <si>
    <t>DISJUNTOR BIPOLAR TERMOMAGNÉTICO 5KA, DE 32A</t>
  </si>
  <si>
    <t>QUADRO DE DISTRIBUIÇÃO DE ENERGIA EM CHAPA DE AÇO GALVANIZADO, DE EMBUTIR, COM BARRAMENTO TRIFÁSICO, PARA 30 DISJUNTORES DIN 150A - FORNECIMENTO E INSTALAÇÃO.</t>
  </si>
  <si>
    <t>ED-20584</t>
  </si>
  <si>
    <t xml:space="preserve">ALAMBRADO EM MOURÕES DE CONCRETO, COM TELA DE ARAME GALVANIZADO (INCLUSIVE MURETA EM CONCRETO). </t>
  </si>
  <si>
    <t>PAISAGISMO</t>
  </si>
  <si>
    <t>PLANTIO DE GRAMA ESMERALDA EM PLACAS, INCLUSIVE TERRA VEGETAL E CONSERVAÇÃO POR 30 DIAS</t>
  </si>
  <si>
    <t>ED-50437</t>
  </si>
  <si>
    <t>CAIXA D´ÁGUA DE POLIETILENO, CAPACIDADE DE 1.500L, INCLUSIVE TAMPA, TORNEIRA DE BOIA, EXTRAVASOR, TUBO DE LIMPEZA E ACESSÓRIOS, EXCLUSIVE TUBULAÇÃO DE ENTRADA/SAÍDA DE ÁGUA</t>
  </si>
  <si>
    <t>ED-49937</t>
  </si>
  <si>
    <t>TANQUE SÉPTICO RETANGULAR, EM ALVENARIA COM BLOCOS DE CONCRETO, DIMENSÕES INTERNAS: 1,0 X 2,0 X 1,4 M, VOLUME ÚTIL: 2000 L.</t>
  </si>
  <si>
    <t>FILTRO ANAERÓBIO RETANGULAR, EM ALVENARIA COM BLOCOS DE CONCRETO, DIMENSÕES INTERNAS: 0,8 X 1,2 X 1,67 M, VOLUME ÚTIL: 1152 L.</t>
  </si>
  <si>
    <t>SUMIDOURO CIRCULAR, EM CONCRETO PRÉ-MOLDADO, DIÂMETRO INTERNO = 1,88 M, ALTURA INTERNA = 2,00 M, ÁREA DE INFILTRAÇÃO: 13,1 M².</t>
  </si>
  <si>
    <t>12.3.7</t>
  </si>
  <si>
    <t>12.3.8</t>
  </si>
  <si>
    <t>12.3.9</t>
  </si>
  <si>
    <t>GUARDA-CORPO EM AÇO GALVANIZADO DIN 2440, D = 2", COM SUBDIVISÕES EM TUBO DE AÇO D = 1/2", H = 1,05 M - COM CORRIMÃO DUPLO DE TUBO DE AÇO GALVANIZADO DE D = 1 1/2"</t>
  </si>
  <si>
    <t>11.9</t>
  </si>
  <si>
    <t>ED-50939</t>
  </si>
  <si>
    <t>CORRIMÃO DUPLO EM TUBO GALVANIZADO DIN 2440, D = 1 1/2" - FIXADO EM ALVENARIA</t>
  </si>
  <si>
    <t>ED-50937</t>
  </si>
  <si>
    <t>ENTRADA DE ENERGIA AÉREA, TIPO C2, PADRÃO CEMIG, CARGA INSTALADA DE 15,1KVA ATÉ 23KVA, TRIFÁSICO, COM SAÍDA SUBTERRÂNEA, INCLUSIVE POSTE, CAIXA PARA MEDIDOR, DISJUNTOR, BARRAMENTO, ATERRAMENTO E ACESSÓRIOS</t>
  </si>
  <si>
    <t>COBERTURA EM TELHA DE FIBROCIMENTO ONDULADA E = 5 MM</t>
  </si>
  <si>
    <t>ED-48423</t>
  </si>
  <si>
    <t>Carimbo e assinatura do engenheiro responsável técnico pela elaboração da planilha</t>
  </si>
  <si>
    <t>Carimbo e assinatura do representante legal</t>
  </si>
  <si>
    <t>CALHA EM CHAPA GALVANIZADA, ESP. 0,5MM (GSG-26), COM DESENVOLVIMENTO DE 50CM, INCLUSIVE IÇAMENTO MANUAL VERTICAL</t>
  </si>
  <si>
    <t>ED-50663</t>
  </si>
  <si>
    <t>RUFO E CONTRA-RUFO EM CHAPA GALVANIZADA, ESP. 0,5MM (GSG-26), COM DESENVOLVIMENTO DE 15CM, INCLUSIVE IÇAMENTO MANUAL VERTICAL</t>
  </si>
  <si>
    <t>ED-50682</t>
  </si>
  <si>
    <t>ED-50685</t>
  </si>
  <si>
    <t>RUFO E CONTRA-RUFO EM CHAPA GALVANIZADA, ESP. 0,5MM (GSG-26), COM DESENVOLVIMENTO DE 33CM, INCLUSIVE IÇAMENTO MANUAL VERTICAL</t>
  </si>
  <si>
    <t>PISO EM CONCRETO, PREPARADO EM OBRA COM BETONEIRA, FCK 10MPA, SEM ARMAÇÃO, ACABAMENTO RÚSTICO, ESP. 5CM, INCLUSIVE FORNECIMENTO, LANÇAMENTO, ADENSAMENTO, SARRAFEAMENTO, EXCLUSIVE JUNTA DE DILATAÇÃO</t>
  </si>
  <si>
    <t>ED-9317</t>
  </si>
  <si>
    <t>REGIÃO/MÊS REFERÊNCIA:   
SEINFRA 07/2022
SINAPI 07/2022</t>
  </si>
  <si>
    <t>PRAZO DE OBRA: 3 MESES</t>
  </si>
  <si>
    <t>ED-26993</t>
  </si>
  <si>
    <t>LUMINÁRIA DE EMERGÊNCIA AUTÔNOMA, TIPO LED COM DOIS FARÓIS, POTÊNCIA TOTAL DE 8W, FORNECIMENTO E INSTALAÇÃO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</si>
</sst>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R$&quot;\ #,##0;[Red]\-&quot;R$&quot;\ #,##0"/>
    <numFmt numFmtId="7" formatCode="&quot;R$&quot;\ #,##0.00;\-&quot;R$&quot;\ #,##0.00"/>
    <numFmt numFmtId="44" formatCode="_-&quot;R$&quot;\ * #,##0.00_-;\-&quot;R$&quot;\ * #,##0.00_-;_-&quot;R$&quot;\ * &quot;-&quot;??_-;_-@_-"/>
    <numFmt numFmtId="43" formatCode="_-* #,##0.00_-;\-* #,##0.00_-;_-* &quot;-&quot;??_-;_-@_-"/>
    <numFmt numFmtId="164" formatCode="0.0"/>
    <numFmt numFmtId="165" formatCode="_(* #,##0.00_);_(* \(#,##0.00\);_(* &quot;-&quot;??_);_(@_)"/>
    <numFmt numFmtId="166" formatCode="0.000%"/>
    <numFmt numFmtId="167" formatCode="_([$€-2]* #,##0.00_);_([$€-2]* \(#,##0.00\);_([$€-2]* &quot;-&quot;??_)"/>
    <numFmt numFmtId="168" formatCode="&quot;R$&quot;#,##0_);[Red]\(&quot;R$&quot;#,##0\)"/>
    <numFmt numFmtId="169" formatCode="General_)"/>
    <numFmt numFmtId="170" formatCode="&quot;R$ &quot;#,##0.00"/>
    <numFmt numFmtId="171" formatCode="ddd"/>
    <numFmt numFmtId="172" formatCode="d/mm/yyyy"/>
    <numFmt numFmtId="173" formatCode="_(&quot;R$&quot;* #,##0.0000_);_(&quot;R$&quot;* \(#,##0.0000\);_(&quot;R$&quot;* &quot;-&quot;????_);_(@_)"/>
  </numFmts>
  <fonts count="43" x14ac:knownFonts="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rgb="FF000000"/>
      <name val="Times New Roman"/>
      <family val="1"/>
    </font>
    <font>
      <b/>
      <sz val="10"/>
      <color rgb="FF000000"/>
      <name val="Times New Roman"/>
      <family val="1"/>
    </font>
    <font>
      <sz val="10"/>
      <name val="Times New Roman"/>
      <family val="1"/>
    </font>
    <font>
      <b/>
      <sz val="14"/>
      <name val="Times New Roman"/>
      <family val="1"/>
    </font>
    <font>
      <b/>
      <sz val="11"/>
      <name val="Times New Roman"/>
      <family val="1"/>
    </font>
    <font>
      <sz val="11"/>
      <color indexed="8"/>
      <name val="Calibri"/>
      <family val="2"/>
    </font>
    <font>
      <sz val="10"/>
      <color theme="1"/>
      <name val="Times New Roman"/>
      <family val="1"/>
    </font>
    <font>
      <sz val="10"/>
      <name val="Arial"/>
      <family val="2"/>
    </font>
    <font>
      <sz val="11"/>
      <color rgb="FF000000"/>
      <name val="Arial"/>
      <family val="2"/>
    </font>
    <font>
      <sz val="11"/>
      <color rgb="FF000000"/>
      <name val="Calibri"/>
      <family val="2"/>
      <scheme val="minor"/>
    </font>
    <font>
      <sz val="11"/>
      <color indexed="8"/>
      <name val="Arial"/>
      <family val="2"/>
    </font>
    <font>
      <b/>
      <sz val="12"/>
      <color rgb="FF000000"/>
      <name val="Times New Roman"/>
      <family val="1"/>
    </font>
    <font>
      <b/>
      <sz val="12"/>
      <name val="Times New Roman"/>
      <family val="1"/>
    </font>
    <font>
      <sz val="12"/>
      <color rgb="FF000000"/>
      <name val="Times New Roman"/>
      <family val="1"/>
    </font>
    <font>
      <sz val="12"/>
      <name val="Times New Roman"/>
      <family val="1"/>
    </font>
    <font>
      <b/>
      <sz val="9"/>
      <name val="Arial"/>
      <family val="2"/>
    </font>
    <font>
      <sz val="11"/>
      <name val="Times New Roman"/>
      <family val="1"/>
    </font>
    <font>
      <b/>
      <sz val="11"/>
      <color theme="0"/>
      <name val="Arial"/>
      <family val="2"/>
    </font>
    <font>
      <b/>
      <sz val="12"/>
      <color theme="0"/>
      <name val="Times New Roman"/>
      <family val="1"/>
    </font>
    <font>
      <b/>
      <sz val="13"/>
      <color theme="1" tint="0.24994659260841701"/>
      <name val="Cambria"/>
      <family val="2"/>
      <scheme val="major"/>
    </font>
    <font>
      <sz val="10"/>
      <name val="Courier"/>
      <family val="3"/>
    </font>
    <font>
      <sz val="12"/>
      <color theme="1"/>
      <name val="Calibri"/>
      <family val="2"/>
      <scheme val="minor"/>
    </font>
    <font>
      <b/>
      <sz val="13"/>
      <color theme="7"/>
      <name val="Cambria"/>
      <family val="2"/>
      <scheme val="major"/>
    </font>
    <font>
      <b/>
      <sz val="9.5"/>
      <color theme="1" tint="0.499984740745262"/>
      <name val="Calibri"/>
      <family val="2"/>
      <scheme val="minor"/>
    </font>
    <font>
      <b/>
      <sz val="18"/>
      <name val="Times New Roman"/>
      <family val="1"/>
    </font>
    <font>
      <sz val="10"/>
      <name val="Arial"/>
      <family val="2"/>
    </font>
    <font>
      <sz val="1"/>
      <color indexed="8"/>
      <name val="Courier"/>
      <family val="3"/>
    </font>
    <font>
      <b/>
      <sz val="20"/>
      <color theme="1"/>
      <name val="Times New Roman"/>
      <family val="1"/>
    </font>
    <font>
      <sz val="11"/>
      <color theme="1"/>
      <name val="Times New Roman"/>
      <family val="1"/>
    </font>
    <font>
      <b/>
      <sz val="16"/>
      <color theme="1"/>
      <name val="Times New Roman"/>
      <family val="1"/>
    </font>
    <font>
      <b/>
      <sz val="12"/>
      <color theme="1"/>
      <name val="Times New Roman"/>
      <family val="1"/>
    </font>
    <font>
      <b/>
      <sz val="10"/>
      <color theme="1"/>
      <name val="Times New Roman"/>
      <family val="1"/>
    </font>
    <font>
      <b/>
      <sz val="11"/>
      <name val="Arial"/>
      <family val="2"/>
    </font>
    <font>
      <sz val="12"/>
      <color theme="1"/>
      <name val="Times New Roman"/>
      <family val="1"/>
    </font>
    <font>
      <sz val="8"/>
      <name val="Times New Roman"/>
      <family val="1"/>
    </font>
    <font>
      <sz val="10"/>
      <color indexed="8"/>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auto="1"/>
      </right>
      <top style="thin">
        <color auto="1"/>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auto="1"/>
      </right>
      <top style="hair">
        <color auto="1"/>
      </top>
      <bottom style="thin">
        <color auto="1"/>
      </bottom>
      <diagonal/>
    </border>
    <border>
      <left style="thin">
        <color auto="1"/>
      </left>
      <right style="thin">
        <color auto="1"/>
      </right>
      <top style="hair">
        <color auto="1"/>
      </top>
      <bottom style="thin">
        <color auto="1"/>
      </bottom>
      <diagonal/>
    </border>
    <border>
      <left style="thin">
        <color auto="1"/>
      </left>
      <right style="medium">
        <color indexed="64"/>
      </right>
      <top style="hair">
        <color auto="1"/>
      </top>
      <bottom style="thin">
        <color auto="1"/>
      </bottom>
      <diagonal/>
    </border>
    <border>
      <left/>
      <right/>
      <top/>
      <bottom style="thin">
        <color theme="7"/>
      </bottom>
      <diagonal/>
    </border>
    <border>
      <left style="thin">
        <color indexed="64"/>
      </left>
      <right/>
      <top style="thin">
        <color indexed="64"/>
      </top>
      <bottom style="thin">
        <color indexed="64"/>
      </bottom>
      <diagonal/>
    </border>
  </borders>
  <cellStyleXfs count="86">
    <xf numFmtId="0" fontId="0" fillId="0" borderId="0"/>
    <xf numFmtId="0" fontId="6" fillId="0" borderId="0"/>
    <xf numFmtId="43" fontId="12" fillId="0" borderId="0" applyFont="0" applyFill="0" applyBorder="0" applyAlignment="0" applyProtection="0"/>
    <xf numFmtId="9" fontId="12" fillId="0" borderId="0" applyFont="0" applyFill="0" applyBorder="0" applyAlignment="0" applyProtection="0"/>
    <xf numFmtId="0" fontId="5" fillId="0" borderId="0"/>
    <xf numFmtId="0" fontId="15" fillId="0" borderId="0"/>
    <xf numFmtId="0" fontId="4" fillId="0" borderId="0"/>
    <xf numFmtId="165" fontId="12" fillId="0" borderId="0" applyFont="0" applyFill="0" applyBorder="0" applyAlignment="0" applyProtection="0"/>
    <xf numFmtId="43" fontId="16" fillId="0" borderId="0" applyFont="0" applyFill="0" applyBorder="0" applyAlignment="0" applyProtection="0"/>
    <xf numFmtId="0" fontId="4" fillId="0" borderId="0"/>
    <xf numFmtId="165" fontId="17" fillId="0" borderId="0" applyFont="0" applyFill="0" applyBorder="0" applyAlignment="0" applyProtection="0"/>
    <xf numFmtId="9" fontId="15" fillId="0" borderId="0" applyFont="0" applyFill="0" applyBorder="0" applyAlignment="0" applyProtection="0"/>
    <xf numFmtId="0" fontId="14" fillId="0" borderId="0"/>
    <xf numFmtId="0" fontId="14" fillId="0" borderId="0"/>
    <xf numFmtId="0" fontId="3" fillId="0" borderId="0"/>
    <xf numFmtId="9" fontId="9" fillId="0" borderId="0" applyFont="0" applyFill="0" applyBorder="0" applyAlignment="0" applyProtection="0"/>
    <xf numFmtId="0" fontId="2" fillId="0" borderId="0"/>
    <xf numFmtId="0" fontId="1" fillId="0" borderId="0"/>
    <xf numFmtId="43" fontId="1" fillId="0" borderId="0" applyFont="0" applyFill="0" applyBorder="0" applyAlignment="0" applyProtection="0"/>
    <xf numFmtId="0" fontId="1" fillId="0" borderId="0"/>
    <xf numFmtId="0" fontId="26" fillId="0" borderId="0" applyFill="0" applyBorder="0" applyProtection="0">
      <alignment horizontal="left"/>
    </xf>
    <xf numFmtId="167" fontId="14" fillId="0" borderId="0" applyFont="0" applyFill="0" applyBorder="0" applyAlignment="0" applyProtection="0"/>
    <xf numFmtId="168"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6" fontId="1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169" fontId="27" fillId="0" borderId="0"/>
    <xf numFmtId="0" fontId="28" fillId="0" borderId="0"/>
    <xf numFmtId="169" fontId="27" fillId="0" borderId="0"/>
    <xf numFmtId="0" fontId="1" fillId="0" borderId="0"/>
    <xf numFmtId="0" fontId="1" fillId="0" borderId="0"/>
    <xf numFmtId="0" fontId="1" fillId="0" borderId="0"/>
    <xf numFmtId="9" fontId="29" fillId="0" borderId="0" applyFill="0" applyBorder="0" applyProtection="0">
      <alignment horizontal="center" vertical="center"/>
    </xf>
    <xf numFmtId="3" fontId="30" fillId="0" borderId="32" applyFill="0" applyProtection="0">
      <alignment horizontal="center"/>
    </xf>
    <xf numFmtId="0" fontId="30" fillId="0" borderId="0" applyFill="0" applyBorder="0" applyProtection="0">
      <alignment horizontal="center"/>
    </xf>
    <xf numFmtId="43" fontId="1"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1"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0" fontId="32" fillId="0" borderId="0"/>
    <xf numFmtId="0" fontId="33" fillId="0" borderId="0">
      <protection locked="0"/>
    </xf>
    <xf numFmtId="170" fontId="32" fillId="0" borderId="0">
      <protection locked="0"/>
    </xf>
    <xf numFmtId="171" fontId="32" fillId="0" borderId="0">
      <protection locked="0"/>
    </xf>
    <xf numFmtId="172" fontId="32" fillId="0" borderId="0">
      <protection locked="0"/>
    </xf>
    <xf numFmtId="173" fontId="32" fillId="0" borderId="0">
      <protection locked="0"/>
    </xf>
    <xf numFmtId="173" fontId="32" fillId="0" borderId="0">
      <protection locked="0"/>
    </xf>
  </cellStyleXfs>
  <cellXfs count="225">
    <xf numFmtId="0" fontId="0" fillId="0" borderId="0" xfId="0" applyFill="1" applyBorder="1" applyAlignment="1">
      <alignment horizontal="left" vertical="top"/>
    </xf>
    <xf numFmtId="4" fontId="21" fillId="2" borderId="11" xfId="0" applyNumberFormat="1" applyFont="1" applyFill="1" applyBorder="1" applyAlignment="1">
      <alignment horizontal="center" vertical="center" wrapText="1"/>
    </xf>
    <xf numFmtId="0" fontId="0" fillId="2" borderId="0" xfId="0" applyFill="1" applyBorder="1" applyAlignment="1">
      <alignment horizontal="left" vertical="center"/>
    </xf>
    <xf numFmtId="4" fontId="21" fillId="2" borderId="14" xfId="0" applyNumberFormat="1" applyFont="1" applyFill="1" applyBorder="1" applyAlignment="1">
      <alignment horizontal="center" vertical="center" wrapText="1"/>
    </xf>
    <xf numFmtId="0" fontId="19" fillId="2" borderId="0" xfId="1" applyFont="1" applyFill="1" applyBorder="1" applyAlignment="1">
      <alignment horizontal="center" vertical="center"/>
    </xf>
    <xf numFmtId="0" fontId="0" fillId="2" borderId="0" xfId="0" applyFill="1" applyBorder="1" applyAlignment="1">
      <alignment horizontal="left" vertical="top"/>
    </xf>
    <xf numFmtId="0" fontId="19" fillId="2" borderId="4" xfId="1" applyFont="1" applyFill="1" applyBorder="1" applyAlignment="1">
      <alignment vertical="center"/>
    </xf>
    <xf numFmtId="0" fontId="0" fillId="2" borderId="0" xfId="0" applyFill="1" applyBorder="1" applyAlignment="1">
      <alignment vertical="top"/>
    </xf>
    <xf numFmtId="0" fontId="0" fillId="2" borderId="5" xfId="0" applyFill="1" applyBorder="1" applyAlignment="1">
      <alignment vertical="top"/>
    </xf>
    <xf numFmtId="49" fontId="19" fillId="2" borderId="4" xfId="12" applyNumberFormat="1" applyFont="1" applyFill="1" applyBorder="1" applyAlignment="1">
      <alignment vertical="center"/>
    </xf>
    <xf numFmtId="4" fontId="21" fillId="2" borderId="0" xfId="12" applyNumberFormat="1" applyFont="1" applyFill="1" applyBorder="1" applyAlignment="1">
      <alignment horizontal="center" vertical="center" wrapText="1"/>
    </xf>
    <xf numFmtId="0" fontId="19" fillId="2" borderId="33" xfId="1" applyFont="1" applyFill="1" applyBorder="1" applyAlignment="1">
      <alignment horizontal="left" vertical="center" wrapText="1"/>
    </xf>
    <xf numFmtId="0" fontId="19" fillId="2" borderId="10" xfId="1" applyFont="1" applyFill="1" applyBorder="1" applyAlignment="1">
      <alignment horizontal="left" vertical="center" wrapText="1"/>
    </xf>
    <xf numFmtId="4" fontId="21" fillId="2" borderId="10" xfId="12" applyNumberFormat="1" applyFont="1" applyFill="1" applyBorder="1" applyAlignment="1">
      <alignment horizontal="center" vertical="center" wrapText="1"/>
    </xf>
    <xf numFmtId="4" fontId="21" fillId="2" borderId="11" xfId="12" applyNumberFormat="1" applyFont="1" applyFill="1" applyBorder="1" applyAlignment="1">
      <alignment horizontal="center" vertical="center" wrapText="1"/>
    </xf>
    <xf numFmtId="0" fontId="25" fillId="2" borderId="33" xfId="1" applyFont="1" applyFill="1" applyBorder="1" applyAlignment="1">
      <alignment vertical="center"/>
    </xf>
    <xf numFmtId="0" fontId="25" fillId="2" borderId="10" xfId="1" applyFont="1" applyFill="1" applyBorder="1" applyAlignment="1">
      <alignment vertical="center"/>
    </xf>
    <xf numFmtId="0" fontId="25" fillId="2" borderId="33" xfId="1" applyFont="1" applyFill="1" applyBorder="1" applyAlignment="1">
      <alignment horizontal="right" vertical="center"/>
    </xf>
    <xf numFmtId="0" fontId="25" fillId="2" borderId="11" xfId="1" applyFont="1" applyFill="1" applyBorder="1" applyAlignment="1">
      <alignment vertical="center"/>
    </xf>
    <xf numFmtId="0" fontId="19" fillId="2" borderId="0" xfId="1" applyFont="1" applyFill="1" applyBorder="1" applyAlignment="1">
      <alignment horizontal="center" vertical="center" wrapText="1"/>
    </xf>
    <xf numFmtId="0" fontId="19" fillId="2" borderId="14" xfId="1" applyFont="1" applyFill="1" applyBorder="1" applyAlignment="1">
      <alignment horizontal="center" vertical="center" wrapText="1"/>
    </xf>
    <xf numFmtId="10" fontId="19" fillId="2" borderId="33" xfId="1" applyNumberFormat="1" applyFont="1" applyFill="1" applyBorder="1" applyAlignment="1">
      <alignment horizontal="center" vertical="center" wrapText="1"/>
    </xf>
    <xf numFmtId="10" fontId="19" fillId="2" borderId="11" xfId="0" applyNumberFormat="1" applyFont="1" applyFill="1" applyBorder="1" applyAlignment="1">
      <alignment horizontal="center" vertical="center"/>
    </xf>
    <xf numFmtId="0" fontId="21" fillId="2" borderId="12" xfId="4" applyFont="1" applyFill="1" applyBorder="1" applyAlignment="1">
      <alignment horizontal="left" vertical="center" wrapText="1"/>
    </xf>
    <xf numFmtId="4" fontId="23" fillId="2" borderId="0" xfId="0" applyNumberFormat="1" applyFont="1" applyFill="1" applyBorder="1" applyAlignment="1">
      <alignment horizontal="center" vertical="center" wrapText="1"/>
    </xf>
    <xf numFmtId="0" fontId="21" fillId="2" borderId="15" xfId="4" applyFont="1" applyFill="1" applyBorder="1" applyAlignment="1">
      <alignment horizontal="left" vertical="center" wrapText="1"/>
    </xf>
    <xf numFmtId="4" fontId="23" fillId="2" borderId="0" xfId="0" applyNumberFormat="1" applyFont="1" applyFill="1" applyBorder="1" applyAlignment="1">
      <alignment horizontal="justify" vertical="center" wrapText="1"/>
    </xf>
    <xf numFmtId="0" fontId="21" fillId="2" borderId="13" xfId="4" applyFont="1" applyFill="1" applyBorder="1" applyAlignment="1">
      <alignment horizontal="left" vertical="center" wrapText="1"/>
    </xf>
    <xf numFmtId="0" fontId="21" fillId="2" borderId="33" xfId="0" applyFont="1" applyFill="1" applyBorder="1" applyAlignment="1">
      <alignment vertical="center" wrapText="1"/>
    </xf>
    <xf numFmtId="0" fontId="21" fillId="2" borderId="10" xfId="4" applyFont="1" applyFill="1" applyBorder="1" applyAlignment="1">
      <alignment horizontal="left" vertical="center" wrapText="1"/>
    </xf>
    <xf numFmtId="10" fontId="21" fillId="2" borderId="10" xfId="4" applyNumberFormat="1" applyFont="1" applyFill="1" applyBorder="1" applyAlignment="1">
      <alignment horizontal="center" vertical="center" wrapText="1"/>
    </xf>
    <xf numFmtId="4" fontId="21" fillId="2" borderId="7" xfId="0" applyNumberFormat="1" applyFont="1" applyFill="1" applyBorder="1" applyAlignment="1">
      <alignment horizontal="justify" vertical="center" wrapText="1"/>
    </xf>
    <xf numFmtId="4" fontId="21" fillId="2" borderId="11" xfId="0" applyNumberFormat="1" applyFont="1" applyFill="1" applyBorder="1" applyAlignment="1">
      <alignment horizontal="justify" vertical="center" wrapText="1"/>
    </xf>
    <xf numFmtId="0" fontId="11" fillId="2" borderId="0" xfId="4" applyFont="1" applyFill="1" applyBorder="1" applyAlignment="1">
      <alignment horizontal="center" vertical="center" wrapText="1"/>
    </xf>
    <xf numFmtId="10" fontId="22" fillId="2" borderId="0" xfId="1" applyNumberFormat="1" applyFont="1" applyFill="1" applyBorder="1" applyAlignment="1">
      <alignment horizontal="center" vertical="center" wrapText="1"/>
    </xf>
    <xf numFmtId="10" fontId="21" fillId="2" borderId="12" xfId="4" applyNumberFormat="1" applyFont="1" applyFill="1" applyBorder="1" applyAlignment="1">
      <alignment horizontal="center" vertical="center"/>
    </xf>
    <xf numFmtId="10" fontId="21" fillId="2" borderId="15" xfId="4" applyNumberFormat="1" applyFont="1" applyFill="1" applyBorder="1" applyAlignment="1">
      <alignment horizontal="center" vertical="center" wrapText="1"/>
    </xf>
    <xf numFmtId="10" fontId="21" fillId="2" borderId="13" xfId="4" applyNumberFormat="1" applyFont="1" applyFill="1" applyBorder="1" applyAlignment="1">
      <alignment horizontal="center" vertical="center" wrapText="1"/>
    </xf>
    <xf numFmtId="0" fontId="24" fillId="2" borderId="6" xfId="2" applyNumberFormat="1" applyFont="1" applyFill="1" applyBorder="1" applyAlignment="1">
      <alignment horizontal="center" vertical="center" wrapText="1"/>
    </xf>
    <xf numFmtId="0" fontId="24" fillId="2" borderId="7" xfId="2" applyNumberFormat="1" applyFont="1" applyFill="1" applyBorder="1" applyAlignment="1">
      <alignment horizontal="center" vertical="center" wrapText="1"/>
    </xf>
    <xf numFmtId="4" fontId="24" fillId="2" borderId="7" xfId="2" applyNumberFormat="1" applyFont="1" applyFill="1" applyBorder="1" applyAlignment="1">
      <alignment horizontal="center" vertical="center" wrapText="1"/>
    </xf>
    <xf numFmtId="4" fontId="24" fillId="2" borderId="11" xfId="2" applyNumberFormat="1" applyFont="1" applyFill="1" applyBorder="1" applyAlignment="1">
      <alignment horizontal="center" vertical="center" wrapText="1"/>
    </xf>
    <xf numFmtId="4" fontId="39" fillId="2" borderId="0" xfId="2" applyNumberFormat="1" applyFont="1" applyFill="1" applyBorder="1" applyAlignment="1">
      <alignment horizontal="center" vertical="center" wrapText="1"/>
    </xf>
    <xf numFmtId="0" fontId="19" fillId="2" borderId="14" xfId="0" applyFont="1" applyFill="1" applyBorder="1" applyAlignment="1">
      <alignment horizontal="center" vertical="center" wrapText="1"/>
    </xf>
    <xf numFmtId="4" fontId="19" fillId="2" borderId="14" xfId="0" applyNumberFormat="1" applyFont="1" applyFill="1" applyBorder="1" applyAlignment="1">
      <alignment horizontal="center" vertical="center" wrapText="1"/>
    </xf>
    <xf numFmtId="0" fontId="20" fillId="2" borderId="33" xfId="0" applyFont="1" applyFill="1" applyBorder="1" applyAlignment="1">
      <alignment horizontal="center" vertical="center" wrapText="1"/>
    </xf>
    <xf numFmtId="0" fontId="19" fillId="2" borderId="10" xfId="0" applyFont="1" applyFill="1" applyBorder="1" applyAlignment="1">
      <alignment horizontal="left" vertical="center" wrapText="1"/>
    </xf>
    <xf numFmtId="0" fontId="20" fillId="2" borderId="10" xfId="0" applyFont="1" applyFill="1" applyBorder="1" applyAlignment="1">
      <alignment horizontal="center" vertical="center" wrapText="1"/>
    </xf>
    <xf numFmtId="4" fontId="20" fillId="2" borderId="10" xfId="0" applyNumberFormat="1" applyFont="1" applyFill="1" applyBorder="1" applyAlignment="1">
      <alignment horizontal="left" vertical="center" wrapText="1"/>
    </xf>
    <xf numFmtId="4" fontId="20" fillId="2" borderId="10" xfId="0" applyNumberFormat="1" applyFont="1" applyFill="1" applyBorder="1" applyAlignment="1">
      <alignment horizontal="center" vertical="center" wrapText="1"/>
    </xf>
    <xf numFmtId="4" fontId="20" fillId="2" borderId="11" xfId="0" applyNumberFormat="1" applyFont="1" applyFill="1" applyBorder="1" applyAlignment="1">
      <alignment horizontal="center" vertical="center" wrapText="1"/>
    </xf>
    <xf numFmtId="4" fontId="21" fillId="2" borderId="0" xfId="0" applyNumberFormat="1" applyFont="1" applyFill="1" applyBorder="1" applyAlignment="1">
      <alignment horizontal="center" vertical="center" wrapText="1"/>
    </xf>
    <xf numFmtId="164" fontId="20" fillId="2" borderId="14" xfId="0" applyNumberFormat="1" applyFont="1" applyFill="1" applyBorder="1" applyAlignment="1">
      <alignment horizontal="center" vertical="center" shrinkToFit="1"/>
    </xf>
    <xf numFmtId="1" fontId="21" fillId="2" borderId="14" xfId="0" applyNumberFormat="1" applyFont="1" applyFill="1" applyBorder="1" applyAlignment="1">
      <alignment horizontal="center" vertical="center" wrapText="1"/>
    </xf>
    <xf numFmtId="0" fontId="21" fillId="2" borderId="14" xfId="0" applyFont="1" applyFill="1" applyBorder="1" applyAlignment="1">
      <alignment horizontal="left" vertical="center" wrapText="1"/>
    </xf>
    <xf numFmtId="0" fontId="20" fillId="2" borderId="14" xfId="0" applyFont="1" applyFill="1" applyBorder="1" applyAlignment="1">
      <alignment horizontal="center" vertical="center" wrapText="1"/>
    </xf>
    <xf numFmtId="4" fontId="20" fillId="2" borderId="14" xfId="0" applyNumberFormat="1" applyFont="1" applyFill="1" applyBorder="1" applyAlignment="1">
      <alignment horizontal="center" vertical="center" wrapText="1"/>
    </xf>
    <xf numFmtId="10" fontId="20" fillId="2" borderId="11" xfId="0" applyNumberFormat="1" applyFont="1" applyFill="1" applyBorder="1" applyAlignment="1">
      <alignment horizontal="center" vertical="center" wrapText="1"/>
    </xf>
    <xf numFmtId="164" fontId="18" fillId="2" borderId="9" xfId="0" applyNumberFormat="1" applyFont="1" applyFill="1" applyBorder="1" applyAlignment="1">
      <alignment horizontal="center" vertical="center" shrinkToFit="1"/>
    </xf>
    <xf numFmtId="0" fontId="19" fillId="2" borderId="10" xfId="0" applyFont="1" applyFill="1" applyBorder="1" applyAlignment="1">
      <alignment horizontal="center" vertical="center" wrapText="1"/>
    </xf>
    <xf numFmtId="4" fontId="19" fillId="2" borderId="10" xfId="0" applyNumberFormat="1" applyFont="1" applyFill="1" applyBorder="1" applyAlignment="1">
      <alignment horizontal="right" vertical="center" wrapText="1"/>
    </xf>
    <xf numFmtId="4" fontId="18" fillId="2" borderId="10" xfId="0" applyNumberFormat="1" applyFont="1" applyFill="1" applyBorder="1" applyAlignment="1">
      <alignment horizontal="center" vertical="center" wrapText="1"/>
    </xf>
    <xf numFmtId="4" fontId="18" fillId="2" borderId="11" xfId="0" applyNumberFormat="1" applyFont="1" applyFill="1" applyBorder="1" applyAlignment="1">
      <alignment horizontal="left" vertical="center" wrapText="1"/>
    </xf>
    <xf numFmtId="4" fontId="18" fillId="2" borderId="14" xfId="0" applyNumberFormat="1" applyFont="1" applyFill="1" applyBorder="1" applyAlignment="1">
      <alignment horizontal="center" vertical="center" wrapText="1"/>
    </xf>
    <xf numFmtId="10" fontId="18" fillId="2" borderId="11" xfId="0" applyNumberFormat="1" applyFont="1" applyFill="1" applyBorder="1" applyAlignment="1">
      <alignment horizontal="center" vertical="center" wrapText="1"/>
    </xf>
    <xf numFmtId="4" fontId="21" fillId="2" borderId="1" xfId="0" applyNumberFormat="1" applyFont="1" applyFill="1" applyBorder="1" applyAlignment="1">
      <alignment horizontal="center" vertical="center" wrapText="1"/>
    </xf>
    <xf numFmtId="4" fontId="21" fillId="2" borderId="2" xfId="0" applyNumberFormat="1" applyFont="1" applyFill="1" applyBorder="1" applyAlignment="1">
      <alignment horizontal="center" vertical="center" wrapText="1"/>
    </xf>
    <xf numFmtId="0" fontId="20" fillId="2" borderId="6" xfId="0" applyFont="1" applyFill="1" applyBorder="1" applyAlignment="1">
      <alignment vertical="center" wrapText="1"/>
    </xf>
    <xf numFmtId="0" fontId="20" fillId="2" borderId="7" xfId="0" applyFont="1" applyFill="1" applyBorder="1" applyAlignment="1">
      <alignment vertical="center" wrapText="1"/>
    </xf>
    <xf numFmtId="4" fontId="20" fillId="2" borderId="7" xfId="0" applyNumberFormat="1" applyFont="1" applyFill="1" applyBorder="1" applyAlignment="1">
      <alignment vertical="center" wrapText="1"/>
    </xf>
    <xf numFmtId="4" fontId="20" fillId="2" borderId="8" xfId="0" applyNumberFormat="1" applyFont="1" applyFill="1" applyBorder="1" applyAlignment="1">
      <alignment vertical="center" wrapText="1"/>
    </xf>
    <xf numFmtId="4" fontId="21" fillId="2" borderId="4" xfId="0" applyNumberFormat="1" applyFont="1" applyFill="1" applyBorder="1" applyAlignment="1">
      <alignment vertical="center" wrapText="1"/>
    </xf>
    <xf numFmtId="0" fontId="20" fillId="2" borderId="9" xfId="0" applyFont="1" applyFill="1" applyBorder="1" applyAlignment="1">
      <alignment horizontal="center" vertical="center" wrapText="1"/>
    </xf>
    <xf numFmtId="4" fontId="21" fillId="2" borderId="6" xfId="0" applyNumberFormat="1" applyFont="1" applyFill="1" applyBorder="1" applyAlignment="1">
      <alignment horizontal="center" vertical="center" wrapText="1"/>
    </xf>
    <xf numFmtId="4" fontId="21" fillId="2" borderId="7" xfId="0" applyNumberFormat="1" applyFont="1" applyFill="1" applyBorder="1" applyAlignment="1">
      <alignment horizontal="center" vertical="center" wrapText="1"/>
    </xf>
    <xf numFmtId="0" fontId="21" fillId="2" borderId="9" xfId="0" applyFont="1" applyFill="1" applyBorder="1" applyAlignment="1">
      <alignment horizontal="center" vertical="center" wrapText="1"/>
    </xf>
    <xf numFmtId="166" fontId="18" fillId="2" borderId="11" xfId="0" applyNumberFormat="1" applyFont="1" applyFill="1" applyBorder="1" applyAlignment="1">
      <alignment horizontal="center" vertical="center" wrapText="1"/>
    </xf>
    <xf numFmtId="0" fontId="7" fillId="2" borderId="0" xfId="0" applyFont="1" applyFill="1" applyBorder="1" applyAlignment="1">
      <alignment horizontal="left" vertical="top"/>
    </xf>
    <xf numFmtId="164" fontId="18" fillId="2" borderId="33" xfId="0" applyNumberFormat="1" applyFont="1" applyFill="1" applyBorder="1" applyAlignment="1">
      <alignment horizontal="center" vertical="center" shrinkToFit="1"/>
    </xf>
    <xf numFmtId="0" fontId="13" fillId="2" borderId="0" xfId="0" applyFont="1" applyFill="1" applyBorder="1" applyAlignment="1">
      <alignment horizontal="left" vertical="top"/>
    </xf>
    <xf numFmtId="0" fontId="21" fillId="2" borderId="6" xfId="0" applyFont="1" applyFill="1" applyBorder="1" applyAlignment="1">
      <alignment horizontal="center" vertical="center" wrapText="1"/>
    </xf>
    <xf numFmtId="0" fontId="21" fillId="2" borderId="7" xfId="0" applyFont="1" applyFill="1" applyBorder="1" applyAlignment="1">
      <alignment horizontal="center" vertical="center" wrapText="1"/>
    </xf>
    <xf numFmtId="0" fontId="19" fillId="2" borderId="7" xfId="0" applyFont="1" applyFill="1" applyBorder="1" applyAlignment="1">
      <alignment horizontal="left" vertical="center" wrapText="1"/>
    </xf>
    <xf numFmtId="0" fontId="19" fillId="2" borderId="7" xfId="0" applyFont="1" applyFill="1" applyBorder="1" applyAlignment="1">
      <alignment horizontal="center" vertical="center" wrapText="1"/>
    </xf>
    <xf numFmtId="4" fontId="18" fillId="2" borderId="7" xfId="0" applyNumberFormat="1" applyFont="1" applyFill="1" applyBorder="1" applyAlignment="1">
      <alignment horizontal="center" vertical="center" wrapText="1"/>
    </xf>
    <xf numFmtId="4" fontId="18" fillId="2" borderId="7" xfId="0" applyNumberFormat="1" applyFont="1" applyFill="1" applyBorder="1" applyAlignment="1">
      <alignment horizontal="left" vertical="center" wrapText="1"/>
    </xf>
    <xf numFmtId="166" fontId="18" fillId="2" borderId="8" xfId="0" applyNumberFormat="1" applyFont="1" applyFill="1" applyBorder="1" applyAlignment="1">
      <alignment horizontal="center" vertical="center" wrapText="1"/>
    </xf>
    <xf numFmtId="0" fontId="19" fillId="2" borderId="33" xfId="0" applyFont="1" applyFill="1" applyBorder="1" applyAlignment="1">
      <alignment horizontal="center" vertical="center" wrapText="1"/>
    </xf>
    <xf numFmtId="4" fontId="18" fillId="2" borderId="10" xfId="0" applyNumberFormat="1" applyFont="1" applyFill="1" applyBorder="1" applyAlignment="1">
      <alignment horizontal="left" vertical="center" wrapText="1"/>
    </xf>
    <xf numFmtId="4" fontId="18" fillId="2" borderId="11" xfId="0" applyNumberFormat="1" applyFont="1" applyFill="1" applyBorder="1" applyAlignment="1">
      <alignment horizontal="center" vertical="center" wrapText="1"/>
    </xf>
    <xf numFmtId="0" fontId="19" fillId="2" borderId="9" xfId="0" applyFont="1" applyFill="1" applyBorder="1" applyAlignment="1">
      <alignment horizontal="center" vertical="center" wrapText="1"/>
    </xf>
    <xf numFmtId="0" fontId="8" fillId="2" borderId="0" xfId="0" applyFont="1" applyFill="1" applyBorder="1" applyAlignment="1">
      <alignment horizontal="left" vertical="top"/>
    </xf>
    <xf numFmtId="164" fontId="18" fillId="2" borderId="6" xfId="0" applyNumberFormat="1" applyFont="1" applyFill="1" applyBorder="1" applyAlignment="1">
      <alignment horizontal="center" vertical="center" shrinkToFit="1"/>
    </xf>
    <xf numFmtId="4" fontId="19" fillId="2" borderId="7" xfId="0" applyNumberFormat="1" applyFont="1" applyFill="1" applyBorder="1" applyAlignment="1">
      <alignment horizontal="right" vertical="center" wrapText="1"/>
    </xf>
    <xf numFmtId="4" fontId="20" fillId="2" borderId="7" xfId="0" applyNumberFormat="1" applyFont="1" applyFill="1" applyBorder="1" applyAlignment="1">
      <alignment horizontal="center" vertical="center" wrapText="1"/>
    </xf>
    <xf numFmtId="4" fontId="18" fillId="2" borderId="8" xfId="0" applyNumberFormat="1" applyFont="1" applyFill="1" applyBorder="1" applyAlignment="1">
      <alignment horizontal="center" vertical="center" wrapText="1"/>
    </xf>
    <xf numFmtId="164" fontId="20" fillId="2" borderId="9" xfId="0" applyNumberFormat="1" applyFont="1" applyFill="1" applyBorder="1" applyAlignment="1">
      <alignment horizontal="center" vertical="center" shrinkToFit="1"/>
    </xf>
    <xf numFmtId="0" fontId="21" fillId="2" borderId="10" xfId="0" applyFont="1" applyFill="1" applyBorder="1" applyAlignment="1">
      <alignment horizontal="center" vertical="center" wrapText="1"/>
    </xf>
    <xf numFmtId="164" fontId="20" fillId="2" borderId="6" xfId="0" applyNumberFormat="1" applyFont="1" applyFill="1" applyBorder="1" applyAlignment="1">
      <alignment horizontal="center" vertical="center" shrinkToFit="1"/>
    </xf>
    <xf numFmtId="0" fontId="21" fillId="2" borderId="7" xfId="0" applyFont="1" applyFill="1" applyBorder="1" applyAlignment="1">
      <alignment horizontal="left" vertical="center" wrapText="1"/>
    </xf>
    <xf numFmtId="0" fontId="20" fillId="2" borderId="7" xfId="0" applyFont="1" applyFill="1" applyBorder="1" applyAlignment="1">
      <alignment horizontal="center" vertical="center" wrapText="1"/>
    </xf>
    <xf numFmtId="4" fontId="20" fillId="2" borderId="8" xfId="0" applyNumberFormat="1" applyFont="1" applyFill="1" applyBorder="1" applyAlignment="1">
      <alignment horizontal="center" vertical="center" wrapText="1"/>
    </xf>
    <xf numFmtId="4" fontId="21" fillId="2" borderId="10" xfId="0" applyNumberFormat="1" applyFont="1" applyFill="1" applyBorder="1" applyAlignment="1">
      <alignment horizontal="center" vertical="center" wrapText="1"/>
    </xf>
    <xf numFmtId="4" fontId="21" fillId="2" borderId="4" xfId="0" applyNumberFormat="1" applyFont="1" applyFill="1" applyBorder="1" applyAlignment="1">
      <alignment horizontal="center" vertical="center" wrapText="1"/>
    </xf>
    <xf numFmtId="164" fontId="18" fillId="2" borderId="1" xfId="0" applyNumberFormat="1" applyFont="1" applyFill="1" applyBorder="1" applyAlignment="1">
      <alignment horizontal="center" vertical="center" shrinkToFit="1"/>
    </xf>
    <xf numFmtId="0" fontId="19" fillId="2" borderId="2" xfId="0" applyFont="1" applyFill="1" applyBorder="1" applyAlignment="1">
      <alignment horizontal="center" vertical="center" wrapText="1"/>
    </xf>
    <xf numFmtId="0" fontId="19" fillId="2" borderId="2" xfId="0" applyFont="1" applyFill="1" applyBorder="1" applyAlignment="1">
      <alignment horizontal="left" vertical="center" wrapText="1"/>
    </xf>
    <xf numFmtId="4" fontId="19" fillId="2" borderId="2" xfId="0" applyNumberFormat="1" applyFont="1" applyFill="1" applyBorder="1" applyAlignment="1">
      <alignment horizontal="right" vertical="center" wrapText="1"/>
    </xf>
    <xf numFmtId="4" fontId="18" fillId="2" borderId="2" xfId="0" applyNumberFormat="1" applyFont="1" applyFill="1" applyBorder="1" applyAlignment="1">
      <alignment horizontal="center" vertical="center" wrapText="1"/>
    </xf>
    <xf numFmtId="4" fontId="18" fillId="2" borderId="2" xfId="0" applyNumberFormat="1" applyFont="1" applyFill="1" applyBorder="1" applyAlignment="1">
      <alignment horizontal="left" vertical="center" wrapText="1"/>
    </xf>
    <xf numFmtId="10" fontId="18" fillId="2" borderId="2" xfId="0" applyNumberFormat="1" applyFont="1" applyFill="1" applyBorder="1" applyAlignment="1">
      <alignment horizontal="center" vertical="center" wrapText="1"/>
    </xf>
    <xf numFmtId="166" fontId="18" fillId="2" borderId="3" xfId="0" applyNumberFormat="1" applyFont="1" applyFill="1" applyBorder="1" applyAlignment="1">
      <alignment horizontal="center" vertical="center" wrapText="1"/>
    </xf>
    <xf numFmtId="0" fontId="18" fillId="2" borderId="9" xfId="0" applyFont="1" applyFill="1" applyBorder="1" applyAlignment="1">
      <alignment vertical="center" wrapText="1"/>
    </xf>
    <xf numFmtId="0" fontId="18" fillId="2" borderId="10" xfId="0" applyFont="1" applyFill="1" applyBorder="1" applyAlignment="1">
      <alignment vertical="center" wrapText="1"/>
    </xf>
    <xf numFmtId="4" fontId="18" fillId="2" borderId="10" xfId="0" applyNumberFormat="1" applyFont="1" applyFill="1" applyBorder="1" applyAlignment="1">
      <alignment vertical="center" wrapText="1"/>
    </xf>
    <xf numFmtId="4" fontId="18" fillId="2" borderId="11" xfId="0" applyNumberFormat="1" applyFont="1" applyFill="1" applyBorder="1" applyAlignment="1">
      <alignment vertical="center" wrapText="1"/>
    </xf>
    <xf numFmtId="10" fontId="18" fillId="2" borderId="14" xfId="0" applyNumberFormat="1" applyFont="1" applyFill="1" applyBorder="1" applyAlignment="1">
      <alignment horizontal="center" vertical="center" wrapText="1"/>
    </xf>
    <xf numFmtId="0" fontId="20" fillId="2" borderId="0" xfId="0" applyFont="1" applyFill="1" applyBorder="1" applyAlignment="1">
      <alignment horizontal="center" vertical="center"/>
    </xf>
    <xf numFmtId="0" fontId="20" fillId="2" borderId="0" xfId="0" applyFont="1" applyFill="1" applyBorder="1" applyAlignment="1">
      <alignment horizontal="left" vertical="center"/>
    </xf>
    <xf numFmtId="4" fontId="20" fillId="2" borderId="0" xfId="0" applyNumberFormat="1" applyFont="1" applyFill="1" applyBorder="1" applyAlignment="1">
      <alignment horizontal="left" vertical="center"/>
    </xf>
    <xf numFmtId="4" fontId="20" fillId="2" borderId="0" xfId="0" applyNumberFormat="1" applyFont="1" applyFill="1" applyBorder="1" applyAlignment="1">
      <alignment horizontal="center" vertical="center"/>
    </xf>
    <xf numFmtId="4" fontId="21" fillId="2" borderId="0" xfId="0" applyNumberFormat="1" applyFont="1" applyFill="1" applyBorder="1" applyAlignment="1">
      <alignment horizontal="center" vertical="center"/>
    </xf>
    <xf numFmtId="0" fontId="42" fillId="2" borderId="0" xfId="0" applyFont="1" applyFill="1"/>
    <xf numFmtId="4" fontId="20" fillId="2" borderId="0" xfId="0" applyNumberFormat="1" applyFont="1" applyFill="1" applyBorder="1" applyAlignment="1">
      <alignment vertical="center"/>
    </xf>
    <xf numFmtId="4" fontId="21" fillId="2" borderId="0" xfId="0" applyNumberFormat="1" applyFont="1" applyFill="1" applyBorder="1" applyAlignment="1">
      <alignment vertical="center"/>
    </xf>
    <xf numFmtId="0" fontId="35" fillId="2" borderId="0" xfId="9" applyFont="1" applyFill="1" applyAlignment="1">
      <alignment vertical="center"/>
    </xf>
    <xf numFmtId="0" fontId="34" fillId="2" borderId="22" xfId="9" applyFont="1" applyFill="1" applyBorder="1" applyAlignment="1">
      <alignment vertical="center"/>
    </xf>
    <xf numFmtId="0" fontId="34" fillId="2" borderId="7" xfId="9" applyFont="1" applyFill="1" applyBorder="1" applyAlignment="1">
      <alignment vertical="center"/>
    </xf>
    <xf numFmtId="0" fontId="34" fillId="2" borderId="7" xfId="9" applyFont="1" applyFill="1" applyBorder="1" applyAlignment="1">
      <alignment horizontal="center" vertical="center"/>
    </xf>
    <xf numFmtId="0" fontId="40" fillId="2" borderId="0" xfId="9" applyFont="1" applyFill="1" applyAlignment="1">
      <alignment vertical="center"/>
    </xf>
    <xf numFmtId="0" fontId="19" fillId="2" borderId="25" xfId="13" applyFont="1" applyFill="1" applyBorder="1" applyAlignment="1">
      <alignment horizontal="center" vertical="center"/>
    </xf>
    <xf numFmtId="0" fontId="19" fillId="2" borderId="24" xfId="13" applyFont="1" applyFill="1" applyBorder="1" applyAlignment="1">
      <alignment horizontal="center" vertical="center"/>
    </xf>
    <xf numFmtId="0" fontId="35" fillId="2" borderId="17" xfId="9" applyFont="1" applyFill="1" applyBorder="1" applyAlignment="1">
      <alignment horizontal="center" vertical="center"/>
    </xf>
    <xf numFmtId="44" fontId="35" fillId="2" borderId="13" xfId="9" applyNumberFormat="1" applyFont="1" applyFill="1" applyBorder="1" applyAlignment="1">
      <alignment horizontal="left" vertical="center" wrapText="1"/>
    </xf>
    <xf numFmtId="10" fontId="35" fillId="2" borderId="13" xfId="9" applyNumberFormat="1" applyFont="1" applyFill="1" applyBorder="1" applyAlignment="1">
      <alignment horizontal="center" vertical="center"/>
    </xf>
    <xf numFmtId="7" fontId="35" fillId="2" borderId="18" xfId="9" applyNumberFormat="1" applyFont="1" applyFill="1" applyBorder="1" applyAlignment="1">
      <alignment horizontal="center" vertical="center"/>
    </xf>
    <xf numFmtId="10" fontId="35" fillId="2" borderId="8" xfId="9" applyNumberFormat="1" applyFont="1" applyFill="1" applyBorder="1" applyAlignment="1">
      <alignment horizontal="center" vertical="center"/>
    </xf>
    <xf numFmtId="0" fontId="35" fillId="2" borderId="25" xfId="9" applyFont="1" applyFill="1" applyBorder="1" applyAlignment="1">
      <alignment horizontal="center" vertical="center"/>
    </xf>
    <xf numFmtId="44" fontId="35" fillId="2" borderId="14" xfId="9" applyNumberFormat="1" applyFont="1" applyFill="1" applyBorder="1" applyAlignment="1">
      <alignment vertical="center" wrapText="1"/>
    </xf>
    <xf numFmtId="10" fontId="35" fillId="2" borderId="14" xfId="9" applyNumberFormat="1" applyFont="1" applyFill="1" applyBorder="1" applyAlignment="1">
      <alignment horizontal="center" vertical="center"/>
    </xf>
    <xf numFmtId="10" fontId="35" fillId="2" borderId="11" xfId="9" applyNumberFormat="1" applyFont="1" applyFill="1" applyBorder="1" applyAlignment="1">
      <alignment horizontal="center" vertical="center"/>
    </xf>
    <xf numFmtId="44" fontId="35" fillId="2" borderId="11" xfId="9" applyNumberFormat="1" applyFont="1" applyFill="1" applyBorder="1" applyAlignment="1">
      <alignment vertical="center" wrapText="1"/>
    </xf>
    <xf numFmtId="10" fontId="37" fillId="2" borderId="11" xfId="9" applyNumberFormat="1" applyFont="1" applyFill="1" applyBorder="1" applyAlignment="1">
      <alignment horizontal="center" vertical="center"/>
    </xf>
    <xf numFmtId="7" fontId="37" fillId="2" borderId="18" xfId="9" applyNumberFormat="1" applyFont="1" applyFill="1" applyBorder="1" applyAlignment="1">
      <alignment horizontal="center" vertical="center"/>
    </xf>
    <xf numFmtId="0" fontId="37" fillId="2" borderId="0" xfId="9" applyFont="1" applyFill="1" applyAlignment="1">
      <alignment vertical="center"/>
    </xf>
    <xf numFmtId="0" fontId="35" fillId="2" borderId="0" xfId="9" applyFont="1" applyFill="1" applyAlignment="1">
      <alignment horizontal="center" vertical="center"/>
    </xf>
    <xf numFmtId="4" fontId="21" fillId="2" borderId="1" xfId="0" applyNumberFormat="1" applyFont="1" applyFill="1" applyBorder="1" applyAlignment="1">
      <alignment horizontal="center" vertical="center" wrapText="1"/>
    </xf>
    <xf numFmtId="4" fontId="21" fillId="2" borderId="2" xfId="0" applyNumberFormat="1" applyFont="1" applyFill="1" applyBorder="1" applyAlignment="1">
      <alignment horizontal="center" vertical="center" wrapText="1"/>
    </xf>
    <xf numFmtId="4" fontId="21" fillId="2" borderId="0" xfId="0" applyNumberFormat="1" applyFont="1" applyFill="1" applyBorder="1" applyAlignment="1">
      <alignment horizontal="center" vertical="center" wrapText="1"/>
    </xf>
    <xf numFmtId="0" fontId="42" fillId="2" borderId="7" xfId="0" applyFont="1" applyFill="1" applyBorder="1" applyAlignment="1">
      <alignment horizontal="center" vertical="center"/>
    </xf>
    <xf numFmtId="0" fontId="42" fillId="2" borderId="2" xfId="0" applyFont="1" applyFill="1" applyBorder="1" applyAlignment="1">
      <alignment horizontal="center" vertical="center"/>
    </xf>
    <xf numFmtId="0" fontId="21" fillId="2" borderId="15" xfId="0" applyFont="1" applyFill="1" applyBorder="1" applyAlignment="1">
      <alignment horizontal="left" vertical="center" wrapText="1"/>
    </xf>
    <xf numFmtId="0" fontId="20" fillId="2" borderId="15" xfId="0" applyFont="1" applyFill="1" applyBorder="1" applyAlignment="1">
      <alignment horizontal="left" vertical="center" wrapText="1"/>
    </xf>
    <xf numFmtId="4" fontId="21" fillId="2" borderId="4" xfId="0" applyNumberFormat="1" applyFont="1" applyFill="1" applyBorder="1" applyAlignment="1">
      <alignment horizontal="left" vertical="center" wrapText="1"/>
    </xf>
    <xf numFmtId="4" fontId="21" fillId="2" borderId="0" xfId="0" applyNumberFormat="1" applyFont="1" applyFill="1" applyBorder="1" applyAlignment="1">
      <alignment horizontal="left" vertical="center" wrapText="1"/>
    </xf>
    <xf numFmtId="4" fontId="21" fillId="2" borderId="5" xfId="0" applyNumberFormat="1" applyFont="1" applyFill="1" applyBorder="1" applyAlignment="1">
      <alignment horizontal="left" vertical="center" wrapText="1"/>
    </xf>
    <xf numFmtId="4" fontId="21" fillId="2" borderId="6" xfId="0" applyNumberFormat="1" applyFont="1" applyFill="1" applyBorder="1" applyAlignment="1">
      <alignment horizontal="left" vertical="center" wrapText="1"/>
    </xf>
    <xf numFmtId="4" fontId="21" fillId="2" borderId="7" xfId="0" applyNumberFormat="1" applyFont="1" applyFill="1" applyBorder="1" applyAlignment="1">
      <alignment horizontal="left" vertical="center" wrapText="1"/>
    </xf>
    <xf numFmtId="4" fontId="21" fillId="2" borderId="8" xfId="0" applyNumberFormat="1" applyFont="1" applyFill="1" applyBorder="1" applyAlignment="1">
      <alignment horizontal="left" vertical="center" wrapText="1"/>
    </xf>
    <xf numFmtId="0" fontId="21" fillId="2" borderId="13" xfId="0" applyFont="1" applyFill="1" applyBorder="1" applyAlignment="1">
      <alignment horizontal="left" vertical="center" wrapText="1"/>
    </xf>
    <xf numFmtId="0" fontId="20" fillId="2" borderId="13" xfId="0" applyFont="1" applyFill="1" applyBorder="1" applyAlignment="1">
      <alignment horizontal="left" vertical="center" wrapText="1"/>
    </xf>
    <xf numFmtId="0" fontId="25" fillId="2" borderId="33" xfId="4" applyFont="1" applyFill="1" applyBorder="1" applyAlignment="1">
      <alignment horizontal="center" vertical="center"/>
    </xf>
    <xf numFmtId="0" fontId="25" fillId="2" borderId="10" xfId="4" applyFont="1" applyFill="1" applyBorder="1" applyAlignment="1">
      <alignment horizontal="center" vertical="center"/>
    </xf>
    <xf numFmtId="0" fontId="25" fillId="2" borderId="11" xfId="4" applyFont="1" applyFill="1" applyBorder="1" applyAlignment="1">
      <alignment horizontal="center" vertical="center"/>
    </xf>
    <xf numFmtId="0" fontId="19" fillId="2" borderId="14" xfId="1" applyFont="1" applyFill="1" applyBorder="1" applyAlignment="1">
      <alignment horizontal="center" vertical="center" wrapText="1"/>
    </xf>
    <xf numFmtId="10" fontId="10" fillId="2" borderId="33" xfId="1" applyNumberFormat="1" applyFont="1" applyFill="1" applyBorder="1" applyAlignment="1">
      <alignment horizontal="center" vertical="center" wrapText="1"/>
    </xf>
    <xf numFmtId="10" fontId="10" fillId="2" borderId="10" xfId="1" applyNumberFormat="1" applyFont="1" applyFill="1" applyBorder="1" applyAlignment="1">
      <alignment horizontal="center" vertical="center" wrapText="1"/>
    </xf>
    <xf numFmtId="10" fontId="10" fillId="2" borderId="11" xfId="1" applyNumberFormat="1" applyFont="1" applyFill="1" applyBorder="1" applyAlignment="1">
      <alignment horizontal="center" vertical="center" wrapText="1"/>
    </xf>
    <xf numFmtId="0" fontId="21" fillId="2" borderId="12" xfId="0" applyFont="1" applyFill="1" applyBorder="1" applyAlignment="1">
      <alignment horizontal="left" vertical="center" wrapText="1"/>
    </xf>
    <xf numFmtId="4" fontId="21" fillId="2" borderId="1" xfId="0" applyNumberFormat="1" applyFont="1" applyFill="1" applyBorder="1" applyAlignment="1">
      <alignment horizontal="center" vertical="center" wrapText="1"/>
    </xf>
    <xf numFmtId="4" fontId="21" fillId="2" borderId="2" xfId="0" applyNumberFormat="1" applyFont="1" applyFill="1" applyBorder="1" applyAlignment="1">
      <alignment horizontal="center" vertical="center" wrapText="1"/>
    </xf>
    <xf numFmtId="4" fontId="21" fillId="2" borderId="3" xfId="0" applyNumberFormat="1" applyFont="1" applyFill="1" applyBorder="1" applyAlignment="1">
      <alignment horizontal="center" vertical="center" wrapText="1"/>
    </xf>
    <xf numFmtId="4" fontId="21" fillId="2" borderId="4" xfId="0" applyNumberFormat="1" applyFont="1" applyFill="1" applyBorder="1" applyAlignment="1">
      <alignment horizontal="center" vertical="center" wrapText="1"/>
    </xf>
    <xf numFmtId="4" fontId="21" fillId="2" borderId="0" xfId="0" applyNumberFormat="1" applyFont="1" applyFill="1" applyBorder="1" applyAlignment="1">
      <alignment horizontal="center" vertical="center" wrapText="1"/>
    </xf>
    <xf numFmtId="4" fontId="21" fillId="2" borderId="5" xfId="0" applyNumberFormat="1" applyFont="1" applyFill="1" applyBorder="1" applyAlignment="1">
      <alignment horizontal="center" vertical="center" wrapText="1"/>
    </xf>
    <xf numFmtId="4" fontId="19" fillId="2" borderId="1" xfId="12" applyNumberFormat="1" applyFont="1" applyFill="1" applyBorder="1" applyAlignment="1">
      <alignment horizontal="center" vertical="center" wrapText="1"/>
    </xf>
    <xf numFmtId="4" fontId="19" fillId="2" borderId="2" xfId="12" applyNumberFormat="1" applyFont="1" applyFill="1" applyBorder="1" applyAlignment="1">
      <alignment horizontal="center" vertical="center" wrapText="1"/>
    </xf>
    <xf numFmtId="4" fontId="19" fillId="2" borderId="3" xfId="12" applyNumberFormat="1" applyFont="1" applyFill="1" applyBorder="1" applyAlignment="1">
      <alignment horizontal="center" vertical="center" wrapText="1"/>
    </xf>
    <xf numFmtId="4" fontId="19" fillId="2" borderId="4" xfId="12" applyNumberFormat="1" applyFont="1" applyFill="1" applyBorder="1" applyAlignment="1">
      <alignment horizontal="center" vertical="center" wrapText="1"/>
    </xf>
    <xf numFmtId="4" fontId="19" fillId="2" borderId="0" xfId="12" applyNumberFormat="1" applyFont="1" applyFill="1" applyBorder="1" applyAlignment="1">
      <alignment horizontal="center" vertical="center" wrapText="1"/>
    </xf>
    <xf numFmtId="4" fontId="19" fillId="2" borderId="5" xfId="12" applyNumberFormat="1" applyFont="1" applyFill="1" applyBorder="1" applyAlignment="1">
      <alignment horizontal="center" vertical="center" wrapText="1"/>
    </xf>
    <xf numFmtId="4" fontId="19" fillId="2" borderId="6" xfId="12" applyNumberFormat="1" applyFont="1" applyFill="1" applyBorder="1" applyAlignment="1">
      <alignment horizontal="center" vertical="center" wrapText="1"/>
    </xf>
    <xf numFmtId="4" fontId="19" fillId="2" borderId="7" xfId="12" applyNumberFormat="1" applyFont="1" applyFill="1" applyBorder="1" applyAlignment="1">
      <alignment horizontal="center" vertical="center" wrapText="1"/>
    </xf>
    <xf numFmtId="4" fontId="19" fillId="2" borderId="8" xfId="12" applyNumberFormat="1" applyFont="1" applyFill="1" applyBorder="1" applyAlignment="1">
      <alignment horizontal="center" vertical="center" wrapText="1"/>
    </xf>
    <xf numFmtId="0" fontId="31" fillId="2" borderId="1" xfId="1" applyFont="1" applyFill="1" applyBorder="1" applyAlignment="1">
      <alignment horizontal="center" vertical="center"/>
    </xf>
    <xf numFmtId="0" fontId="31" fillId="2" borderId="2" xfId="1" applyFont="1" applyFill="1" applyBorder="1" applyAlignment="1">
      <alignment horizontal="center" vertical="center"/>
    </xf>
    <xf numFmtId="0" fontId="31" fillId="2" borderId="3" xfId="1" applyFont="1" applyFill="1" applyBorder="1" applyAlignment="1">
      <alignment horizontal="center" vertical="center"/>
    </xf>
    <xf numFmtId="49" fontId="10" fillId="2" borderId="6" xfId="12" applyNumberFormat="1" applyFont="1" applyFill="1" applyBorder="1" applyAlignment="1">
      <alignment horizontal="center" vertical="center" wrapText="1"/>
    </xf>
    <xf numFmtId="49" fontId="10" fillId="2" borderId="7" xfId="12" applyNumberFormat="1" applyFont="1" applyFill="1" applyBorder="1" applyAlignment="1">
      <alignment horizontal="center" vertical="center" wrapText="1"/>
    </xf>
    <xf numFmtId="49" fontId="10" fillId="2" borderId="8" xfId="12" applyNumberFormat="1" applyFont="1" applyFill="1" applyBorder="1" applyAlignment="1">
      <alignment horizontal="center" vertical="center" wrapText="1"/>
    </xf>
    <xf numFmtId="0" fontId="19" fillId="2" borderId="33" xfId="1" applyFont="1" applyFill="1" applyBorder="1" applyAlignment="1">
      <alignment horizontal="left" vertical="center" wrapText="1"/>
    </xf>
    <xf numFmtId="0" fontId="19" fillId="2" borderId="10" xfId="1" applyFont="1" applyFill="1" applyBorder="1" applyAlignment="1">
      <alignment horizontal="left" vertical="center" wrapText="1"/>
    </xf>
    <xf numFmtId="0" fontId="19" fillId="2" borderId="11" xfId="1" applyFont="1" applyFill="1" applyBorder="1" applyAlignment="1">
      <alignment horizontal="left" vertical="center" wrapText="1"/>
    </xf>
    <xf numFmtId="0" fontId="42" fillId="2" borderId="0" xfId="0" applyFont="1" applyFill="1" applyBorder="1" applyAlignment="1">
      <alignment horizontal="center" vertical="center"/>
    </xf>
    <xf numFmtId="0" fontId="19" fillId="2" borderId="23" xfId="13" applyFont="1" applyFill="1" applyBorder="1" applyAlignment="1">
      <alignment horizontal="center" vertical="center"/>
    </xf>
    <xf numFmtId="0" fontId="19" fillId="2" borderId="11" xfId="13" applyFont="1" applyFill="1" applyBorder="1" applyAlignment="1">
      <alignment horizontal="center" vertical="center"/>
    </xf>
    <xf numFmtId="10" fontId="37" fillId="2" borderId="12" xfId="9" applyNumberFormat="1" applyFont="1" applyFill="1" applyBorder="1" applyAlignment="1">
      <alignment horizontal="center" vertical="center"/>
    </xf>
    <xf numFmtId="10" fontId="37" fillId="2" borderId="13" xfId="9" applyNumberFormat="1" applyFont="1" applyFill="1" applyBorder="1" applyAlignment="1">
      <alignment horizontal="center" vertical="center"/>
    </xf>
    <xf numFmtId="7" fontId="37" fillId="2" borderId="16" xfId="9" applyNumberFormat="1" applyFont="1" applyFill="1" applyBorder="1" applyAlignment="1">
      <alignment horizontal="center" vertical="center"/>
    </xf>
    <xf numFmtId="7" fontId="37" fillId="2" borderId="18" xfId="9" applyNumberFormat="1" applyFont="1" applyFill="1" applyBorder="1" applyAlignment="1">
      <alignment horizontal="center" vertical="center"/>
    </xf>
    <xf numFmtId="0" fontId="34" fillId="2" borderId="19" xfId="9" applyFont="1" applyFill="1" applyBorder="1" applyAlignment="1">
      <alignment horizontal="center" vertical="center"/>
    </xf>
    <xf numFmtId="0" fontId="34" fillId="2" borderId="20" xfId="9" applyFont="1" applyFill="1" applyBorder="1" applyAlignment="1">
      <alignment horizontal="center" vertical="center"/>
    </xf>
    <xf numFmtId="0" fontId="34" fillId="2" borderId="21" xfId="9" applyFont="1" applyFill="1" applyBorder="1" applyAlignment="1">
      <alignment horizontal="center" vertical="center"/>
    </xf>
    <xf numFmtId="0" fontId="34" fillId="2" borderId="0" xfId="9" applyFont="1" applyFill="1" applyBorder="1" applyAlignment="1">
      <alignment horizontal="center" vertical="center"/>
    </xf>
    <xf numFmtId="0" fontId="38" fillId="2" borderId="21" xfId="9" applyFont="1" applyFill="1" applyBorder="1" applyAlignment="1">
      <alignment horizontal="center" vertical="center"/>
    </xf>
    <xf numFmtId="0" fontId="38" fillId="2" borderId="0" xfId="9" applyFont="1" applyFill="1" applyBorder="1" applyAlignment="1">
      <alignment horizontal="center" vertical="center"/>
    </xf>
    <xf numFmtId="0" fontId="36" fillId="2" borderId="21" xfId="9" applyFont="1" applyFill="1" applyBorder="1" applyAlignment="1">
      <alignment horizontal="center" vertical="center"/>
    </xf>
    <xf numFmtId="0" fontId="36" fillId="2" borderId="0" xfId="9" applyFont="1" applyFill="1" applyBorder="1" applyAlignment="1">
      <alignment horizontal="center" vertical="center"/>
    </xf>
    <xf numFmtId="0" fontId="19" fillId="2" borderId="25" xfId="13" applyFont="1" applyFill="1" applyBorder="1" applyAlignment="1">
      <alignment horizontal="center" vertical="center"/>
    </xf>
    <xf numFmtId="0" fontId="19" fillId="2" borderId="24" xfId="13" applyFont="1" applyFill="1" applyBorder="1" applyAlignment="1">
      <alignment horizontal="center" vertical="center"/>
    </xf>
    <xf numFmtId="0" fontId="37" fillId="2" borderId="23" xfId="9" applyFont="1" applyFill="1" applyBorder="1" applyAlignment="1">
      <alignment horizontal="left" vertical="center" wrapText="1"/>
    </xf>
    <xf numFmtId="0" fontId="37" fillId="2" borderId="10" xfId="9" applyFont="1" applyFill="1" applyBorder="1" applyAlignment="1">
      <alignment horizontal="left" vertical="center" wrapText="1"/>
    </xf>
    <xf numFmtId="0" fontId="37" fillId="2" borderId="23" xfId="9" applyFont="1" applyFill="1" applyBorder="1" applyAlignment="1">
      <alignment horizontal="left" vertical="center"/>
    </xf>
    <xf numFmtId="0" fontId="37" fillId="2" borderId="10" xfId="9" applyFont="1" applyFill="1" applyBorder="1" applyAlignment="1">
      <alignment horizontal="left" vertical="center"/>
    </xf>
    <xf numFmtId="0" fontId="19" fillId="2" borderId="26" xfId="13" applyFont="1" applyFill="1" applyBorder="1" applyAlignment="1">
      <alignment horizontal="center" vertical="center"/>
    </xf>
    <xf numFmtId="0" fontId="19" fillId="2" borderId="29" xfId="13" applyFont="1" applyFill="1" applyBorder="1" applyAlignment="1">
      <alignment horizontal="center" vertical="center"/>
    </xf>
    <xf numFmtId="0" fontId="19" fillId="2" borderId="27" xfId="13" applyFont="1" applyFill="1" applyBorder="1" applyAlignment="1">
      <alignment horizontal="center" vertical="center"/>
    </xf>
    <xf numFmtId="0" fontId="19" fillId="2" borderId="30" xfId="13" applyFont="1" applyFill="1" applyBorder="1" applyAlignment="1">
      <alignment horizontal="center" vertical="center"/>
    </xf>
    <xf numFmtId="0" fontId="19" fillId="2" borderId="28" xfId="13" applyFont="1" applyFill="1" applyBorder="1" applyAlignment="1">
      <alignment horizontal="center" vertical="center"/>
    </xf>
    <xf numFmtId="0" fontId="19" fillId="2" borderId="31" xfId="13" applyFont="1" applyFill="1" applyBorder="1" applyAlignment="1">
      <alignment horizontal="center" vertical="center"/>
    </xf>
    <xf numFmtId="4" fontId="21" fillId="3" borderId="2" xfId="0" applyNumberFormat="1" applyFont="1" applyFill="1" applyBorder="1" applyAlignment="1">
      <alignment horizontal="center" vertical="center" wrapText="1"/>
    </xf>
    <xf numFmtId="0" fontId="0" fillId="3" borderId="0" xfId="0" applyFill="1" applyBorder="1" applyAlignment="1">
      <alignment horizontal="left" vertical="center"/>
    </xf>
    <xf numFmtId="0" fontId="19" fillId="2" borderId="0" xfId="13" applyFont="1" applyFill="1" applyBorder="1" applyAlignment="1">
      <alignment horizontal="center" vertical="center"/>
    </xf>
    <xf numFmtId="10" fontId="37" fillId="2" borderId="0" xfId="9" applyNumberFormat="1" applyFont="1" applyFill="1" applyBorder="1" applyAlignment="1">
      <alignment horizontal="center" vertical="center"/>
    </xf>
    <xf numFmtId="7" fontId="37" fillId="2" borderId="0" xfId="9" applyNumberFormat="1" applyFont="1" applyFill="1" applyBorder="1" applyAlignment="1">
      <alignment horizontal="center" vertical="center"/>
    </xf>
  </cellXfs>
  <cellStyles count="86">
    <cellStyle name="Activity" xfId="20" xr:uid="{00000000-0005-0000-0000-000000000000}"/>
    <cellStyle name="Data" xfId="80" xr:uid="{00000000-0005-0000-0000-000001000000}"/>
    <cellStyle name="Euro" xfId="21" xr:uid="{00000000-0005-0000-0000-000002000000}"/>
    <cellStyle name="Fixo" xfId="81" xr:uid="{00000000-0005-0000-0000-000003000000}"/>
    <cellStyle name="Moeda 2" xfId="22" xr:uid="{00000000-0005-0000-0000-000004000000}"/>
    <cellStyle name="Moeda 2 2" xfId="23" xr:uid="{00000000-0005-0000-0000-000005000000}"/>
    <cellStyle name="Moeda 2 2 2" xfId="24" xr:uid="{00000000-0005-0000-0000-000006000000}"/>
    <cellStyle name="Moeda 2 2 3" xfId="25" xr:uid="{00000000-0005-0000-0000-000007000000}"/>
    <cellStyle name="Moeda 2 2 4" xfId="26" xr:uid="{00000000-0005-0000-0000-000008000000}"/>
    <cellStyle name="Moeda 2 2 5" xfId="27" xr:uid="{00000000-0005-0000-0000-000009000000}"/>
    <cellStyle name="Moeda 2 3" xfId="28" xr:uid="{00000000-0005-0000-0000-00000A000000}"/>
    <cellStyle name="Moeda 2 3 2" xfId="29" xr:uid="{00000000-0005-0000-0000-00000B000000}"/>
    <cellStyle name="Moeda 2 3 3" xfId="30" xr:uid="{00000000-0005-0000-0000-00000C000000}"/>
    <cellStyle name="Moeda 2 3 4" xfId="31" xr:uid="{00000000-0005-0000-0000-00000D000000}"/>
    <cellStyle name="Moeda 2 3 5" xfId="32" xr:uid="{00000000-0005-0000-0000-00000E000000}"/>
    <cellStyle name="Moeda 3" xfId="33" xr:uid="{00000000-0005-0000-0000-00000F000000}"/>
    <cellStyle name="Moeda 4" xfId="34" xr:uid="{00000000-0005-0000-0000-000010000000}"/>
    <cellStyle name="Moeda 5" xfId="35" xr:uid="{00000000-0005-0000-0000-000011000000}"/>
    <cellStyle name="Moeda 6" xfId="36" xr:uid="{00000000-0005-0000-0000-000012000000}"/>
    <cellStyle name="Normal" xfId="0" builtinId="0"/>
    <cellStyle name="Normal 15" xfId="37" xr:uid="{00000000-0005-0000-0000-000014000000}"/>
    <cellStyle name="Normal 2" xfId="1" xr:uid="{00000000-0005-0000-0000-000015000000}"/>
    <cellStyle name="Normal 2 2" xfId="9" xr:uid="{00000000-0005-0000-0000-000016000000}"/>
    <cellStyle name="Normal 2 3" xfId="14" xr:uid="{00000000-0005-0000-0000-000017000000}"/>
    <cellStyle name="Normal 2 3 2" xfId="17" xr:uid="{00000000-0005-0000-0000-000018000000}"/>
    <cellStyle name="Normal 2 4" xfId="16" xr:uid="{00000000-0005-0000-0000-000019000000}"/>
    <cellStyle name="Normal 3" xfId="6" xr:uid="{00000000-0005-0000-0000-00001A000000}"/>
    <cellStyle name="Normal 3 2" xfId="38" xr:uid="{00000000-0005-0000-0000-00001B000000}"/>
    <cellStyle name="Normal 3 3" xfId="5" xr:uid="{00000000-0005-0000-0000-00001C000000}"/>
    <cellStyle name="Normal 4" xfId="39" xr:uid="{00000000-0005-0000-0000-00001D000000}"/>
    <cellStyle name="Normal 4 2" xfId="40" xr:uid="{00000000-0005-0000-0000-00001E000000}"/>
    <cellStyle name="Normal 5" xfId="41" xr:uid="{00000000-0005-0000-0000-00001F000000}"/>
    <cellStyle name="Normal 6" xfId="79" xr:uid="{00000000-0005-0000-0000-000020000000}"/>
    <cellStyle name="Normal 67" xfId="42" xr:uid="{00000000-0005-0000-0000-000021000000}"/>
    <cellStyle name="Normal 7 2" xfId="43" xr:uid="{00000000-0005-0000-0000-000022000000}"/>
    <cellStyle name="Normal 8 2" xfId="4" xr:uid="{00000000-0005-0000-0000-000023000000}"/>
    <cellStyle name="Normal 8 2 2" xfId="19" xr:uid="{00000000-0005-0000-0000-000024000000}"/>
    <cellStyle name="Normal_Anexo 2" xfId="12" xr:uid="{00000000-0005-0000-0000-000025000000}"/>
    <cellStyle name="Normal_Planilha e Cronograma Rev 16 2" xfId="13" xr:uid="{00000000-0005-0000-0000-000026000000}"/>
    <cellStyle name="Percent Complete" xfId="44" xr:uid="{00000000-0005-0000-0000-000027000000}"/>
    <cellStyle name="Percentual" xfId="82" xr:uid="{00000000-0005-0000-0000-000028000000}"/>
    <cellStyle name="Period Headers" xfId="45" xr:uid="{00000000-0005-0000-0000-000029000000}"/>
    <cellStyle name="Ponto" xfId="83" xr:uid="{00000000-0005-0000-0000-00002A000000}"/>
    <cellStyle name="Porcentagem 2" xfId="11" xr:uid="{00000000-0005-0000-0000-00002B000000}"/>
    <cellStyle name="Porcentagem 3" xfId="3" xr:uid="{00000000-0005-0000-0000-00002C000000}"/>
    <cellStyle name="Porcentagem 5" xfId="15" xr:uid="{00000000-0005-0000-0000-00002D000000}"/>
    <cellStyle name="Project Headers" xfId="46" xr:uid="{00000000-0005-0000-0000-00002E000000}"/>
    <cellStyle name="Separador de milhares 19" xfId="47" xr:uid="{00000000-0005-0000-0000-00002F000000}"/>
    <cellStyle name="Separador de milhares 2" xfId="18" xr:uid="{00000000-0005-0000-0000-000030000000}"/>
    <cellStyle name="Separador de milhares 2 2" xfId="48" xr:uid="{00000000-0005-0000-0000-000031000000}"/>
    <cellStyle name="Separador de milhares 2 2 2" xfId="49" xr:uid="{00000000-0005-0000-0000-000032000000}"/>
    <cellStyle name="Separador de milhares 2 2 2 2" xfId="50" xr:uid="{00000000-0005-0000-0000-000033000000}"/>
    <cellStyle name="Separador de milhares 2 2 2 2 2" xfId="51" xr:uid="{00000000-0005-0000-0000-000034000000}"/>
    <cellStyle name="Separador de milhares 2 2 2 2 3" xfId="52" xr:uid="{00000000-0005-0000-0000-000035000000}"/>
    <cellStyle name="Separador de milhares 2 2 2 2 4" xfId="53" xr:uid="{00000000-0005-0000-0000-000036000000}"/>
    <cellStyle name="Separador de milhares 2 2 2 2 5" xfId="54" xr:uid="{00000000-0005-0000-0000-000037000000}"/>
    <cellStyle name="Separador de milhares 2 2 3" xfId="55" xr:uid="{00000000-0005-0000-0000-000038000000}"/>
    <cellStyle name="Separador de milhares 2 2 3 2" xfId="56" xr:uid="{00000000-0005-0000-0000-000039000000}"/>
    <cellStyle name="Separador de milhares 2 2 3 3" xfId="57" xr:uid="{00000000-0005-0000-0000-00003A000000}"/>
    <cellStyle name="Separador de milhares 2 2 3 4" xfId="58" xr:uid="{00000000-0005-0000-0000-00003B000000}"/>
    <cellStyle name="Separador de milhares 2 2 3 5" xfId="59" xr:uid="{00000000-0005-0000-0000-00003C000000}"/>
    <cellStyle name="Separador de milhares 2 3" xfId="60" xr:uid="{00000000-0005-0000-0000-00003D000000}"/>
    <cellStyle name="Separador de milhares 2 3 2" xfId="61" xr:uid="{00000000-0005-0000-0000-00003E000000}"/>
    <cellStyle name="Separador de milhares 2 3 3" xfId="62" xr:uid="{00000000-0005-0000-0000-00003F000000}"/>
    <cellStyle name="Separador de milhares 2 3 4" xfId="63" xr:uid="{00000000-0005-0000-0000-000040000000}"/>
    <cellStyle name="Separador de milhares 2 3 5" xfId="64" xr:uid="{00000000-0005-0000-0000-000041000000}"/>
    <cellStyle name="Separador de milhares 2 4" xfId="65" xr:uid="{00000000-0005-0000-0000-000042000000}"/>
    <cellStyle name="Separador de milhares 2 5" xfId="66" xr:uid="{00000000-0005-0000-0000-000043000000}"/>
    <cellStyle name="Separador de milhares 2 6" xfId="67" xr:uid="{00000000-0005-0000-0000-000044000000}"/>
    <cellStyle name="Separador de milhares 2 7" xfId="68" xr:uid="{00000000-0005-0000-0000-000045000000}"/>
    <cellStyle name="Separador de milhares 3" xfId="69" xr:uid="{00000000-0005-0000-0000-000046000000}"/>
    <cellStyle name="Separador de milhares 3 2" xfId="70" xr:uid="{00000000-0005-0000-0000-000047000000}"/>
    <cellStyle name="Separador de milhares 3 3" xfId="71" xr:uid="{00000000-0005-0000-0000-000048000000}"/>
    <cellStyle name="Separador de milhares 3 4" xfId="72" xr:uid="{00000000-0005-0000-0000-000049000000}"/>
    <cellStyle name="Separador de milhares 3 5" xfId="73" xr:uid="{00000000-0005-0000-0000-00004A000000}"/>
    <cellStyle name="Separador de milhares 4" xfId="74" xr:uid="{00000000-0005-0000-0000-00004B000000}"/>
    <cellStyle name="Separador de milhares 5" xfId="75" xr:uid="{00000000-0005-0000-0000-00004C000000}"/>
    <cellStyle name="Separador de milhares 6" xfId="76" xr:uid="{00000000-0005-0000-0000-00004D000000}"/>
    <cellStyle name="Titulo1" xfId="84" xr:uid="{00000000-0005-0000-0000-00004E000000}"/>
    <cellStyle name="Titulo2" xfId="85" xr:uid="{00000000-0005-0000-0000-00004F000000}"/>
    <cellStyle name="Vírgula 2" xfId="7" xr:uid="{00000000-0005-0000-0000-000050000000}"/>
    <cellStyle name="Vírgula 2 2" xfId="8" xr:uid="{00000000-0005-0000-0000-000051000000}"/>
    <cellStyle name="Vírgula 3" xfId="2" xr:uid="{00000000-0005-0000-0000-000052000000}"/>
    <cellStyle name="Vírgula 4" xfId="10" xr:uid="{00000000-0005-0000-0000-000053000000}"/>
    <cellStyle name="Vírgula 4 2" xfId="77" xr:uid="{00000000-0005-0000-0000-000054000000}"/>
    <cellStyle name="Vírgula 7" xfId="78" xr:uid="{00000000-0005-0000-0000-000055000000}"/>
  </cellStyles>
  <dxfs count="0"/>
  <tableStyles count="0" defaultTableStyle="TableStyleMedium9" defaultPivotStyle="PivotStyleLight16"/>
  <colors>
    <mruColors>
      <color rgb="FFFF5050"/>
      <color rgb="FF99FF66"/>
      <color rgb="FF26FA3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calcChain" Target="calcChain.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306916</xdr:colOff>
      <xdr:row>3</xdr:row>
      <xdr:rowOff>110207</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0" y="38100"/>
          <a:ext cx="887942" cy="75790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127001</xdr:colOff>
      <xdr:row>0</xdr:row>
      <xdr:rowOff>47997</xdr:rowOff>
    </xdr:from>
    <xdr:to>
      <xdr:col>1</xdr:col>
      <xdr:colOff>575734</xdr:colOff>
      <xdr:row>4</xdr:row>
      <xdr:rowOff>19190</xdr:rowOff>
    </xdr:to>
    <xdr:pic>
      <xdr:nvPicPr>
        <xdr:cNvPr id="3" name="Imagem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01" y="47997"/>
          <a:ext cx="1073150" cy="91311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idor_udi2\orcament\ORGAOS\INFRAERO\Concorr&#234;ncia\CO%20009%202003%20Aerop%20Udia\Planilha%20Or&#231;ament&#225;ria%20-%20Brig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IDOR_UDI2\ORCAMENT\CIDADES\OSASCO\Concorr&#234;ncia\Cp%20028-02\Anexo%20III%20-%20Planilha%20de%20Or&#231;amento\Planilha%20de%20Or&#231;ament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IDOR_UDI2\ORCAMENT\CIDADES\Uberl&#226;ndia\Cp511-01\planilha%20comparativ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IDOR_UDI2\ORCAMENT\ORGAOS\COPASA\TOMADAPR\DVLI.0.103-00-TNO\Dvli.0.103-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IDOR_UDI1\ORCAMENT\ProducaoGeral\CTR%20-%20Pre&#231;os\Pre&#231;os%20CTR%20industria%20%2025-07-200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_Trabalho/Prefeitura/Asfalto/Pavimenta&#231;&#227;o%20e%20Recapeamento/PAC%202%20-%203&#170;%20Etapa/2013-05%20-%20Enviado%20CAIXA/ProducaoGeral/CTR%20-%20Pre&#231;os/Pre&#231;os%20CTR%20industria%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IDOR_UDI2\ORCAMENT\Or&#231;amento\Planilhas%20Or&#231;amento\HomeHor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IDOR_UDI2\ORCAMENT\Or&#231;amento\Planilhas%20Or&#231;amento\BDITAX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IDOR_UDI1\users\ProducaoGeral\CTR%20-%20Pre&#231;os\Pre&#231;os%20CTR%20Tubos%20%2017-04-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ço"/>
      <sheetName val="Planilha de Preço"/>
      <sheetName val="Cronograma"/>
      <sheetName val="Demonstrativo B.D.I."/>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4"/>
      <sheetName val="Módulo3"/>
      <sheetName val="Módulo2"/>
      <sheetName val="Módulo1"/>
      <sheetName val="Custo"/>
      <sheetName val="Preço"/>
      <sheetName val="demons"/>
      <sheetName val="demons (2)"/>
      <sheetName val="pci"/>
      <sheetName val="Orçamento"/>
      <sheetName val="mão de obra"/>
      <sheetName val="MO-EQUIP"/>
      <sheetName val="SEGURANÇA"/>
      <sheetName val="Indiretos"/>
      <sheetName val="Crono"/>
      <sheetName val="LocFormas"/>
      <sheetName val="formas"/>
      <sheetName val="LevGaleria"/>
      <sheetName val="planilha transp"/>
      <sheetName val="Fresagem"/>
      <sheetName val="composições"/>
      <sheetName val="Escavação"/>
      <sheetName val="frete mf"/>
      <sheetName val="Planilha de Preço"/>
    </sheetNames>
    <sheetDataSet>
      <sheetData sheetId="0" refreshError="1"/>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
      <sheetName val="Preço "/>
      <sheetName val="Resumo"/>
      <sheetName val="Planilha comparativa"/>
      <sheetName val="Planilha comparativa (2)"/>
      <sheetName val="Planilha comparativa (3)"/>
      <sheetName val="Planilha comparativa (4)"/>
      <sheetName val="Planilha simulaçao (4)"/>
      <sheetName val="Planilha simulaçao (5)-briga"/>
      <sheetName val="Planilha Preço Prop x Custo Alt"/>
      <sheetName val="Planilha Preço Prop x Custo pre"/>
      <sheetName val="Planilha Preço Prop x Custo (2)"/>
      <sheetName val="Cronograma"/>
      <sheetName val="Encargos Sociais"/>
      <sheetName val="B.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
      <sheetName val="Preço"/>
      <sheetName val="Planilha DVLI.0.103-00-TNO"/>
      <sheetName val="Comp.Anal. Custo"/>
      <sheetName val="Enc. Sociais"/>
      <sheetName val="B.D.I."/>
      <sheetName val="B.D.I. Demonstrativo"/>
      <sheetName val="Taxa Adm. so materiais"/>
      <sheetName val="B.D.I. Demonstrativo (2)"/>
      <sheetName val="C.U"/>
    </sheetNames>
    <sheetDataSet>
      <sheetData sheetId="0"/>
      <sheetData sheetId="1"/>
      <sheetData sheetId="2"/>
      <sheetData sheetId="3"/>
      <sheetData sheetId="4"/>
      <sheetData sheetId="5">
        <row r="7">
          <cell r="D7">
            <v>22386.5</v>
          </cell>
        </row>
        <row r="12">
          <cell r="D12">
            <v>13000</v>
          </cell>
        </row>
      </sheetData>
      <sheetData sheetId="6"/>
      <sheetData sheetId="7"/>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de Telas"/>
      <sheetName val="Preços insumos"/>
      <sheetName val="Tabela de Produdos"/>
      <sheetName val="Traços concreto"/>
      <sheetName val="Traços CBUQ-PMQ"/>
      <sheetName val="C"/>
    </sheetNames>
    <sheetDataSet>
      <sheetData sheetId="0"/>
      <sheetData sheetId="1" refreshError="1">
        <row r="11">
          <cell r="F11">
            <v>1.19</v>
          </cell>
        </row>
      </sheetData>
      <sheetData sheetId="2"/>
      <sheetData sheetId="3"/>
      <sheetData sheetId="4"/>
      <sheetData sheetId="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de Telas"/>
      <sheetName val="Preços insumos"/>
      <sheetName val="Tabela de Produtos"/>
      <sheetName val="Traços concreto"/>
      <sheetName val="Traços CBUQ-PMQ"/>
    </sheetNames>
    <sheetDataSet>
      <sheetData sheetId="0"/>
      <sheetData sheetId="1">
        <row r="11">
          <cell r="F11">
            <v>1.89</v>
          </cell>
        </row>
      </sheetData>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Salários"/>
      <sheetName val="Equipe"/>
      <sheetName val="Calc"/>
      <sheetName val="Insumos"/>
      <sheetName val="HH"/>
      <sheetName val="Mensal"/>
      <sheetName val="Total"/>
      <sheetName val="Memorial"/>
      <sheetName val="Prog"/>
      <sheetName val="Module1"/>
      <sheetName val="Module2"/>
      <sheetName val="Preços insumos"/>
    </sheetNames>
    <sheetDataSet>
      <sheetData sheetId="0"/>
      <sheetData sheetId="1"/>
      <sheetData sheetId="2"/>
      <sheetData sheetId="3"/>
      <sheetData sheetId="4"/>
      <sheetData sheetId="5"/>
      <sheetData sheetId="6"/>
      <sheetData sheetId="7">
        <row r="27">
          <cell r="D27">
            <v>1.2401351210167211</v>
          </cell>
        </row>
      </sheetData>
      <sheetData sheetId="8"/>
      <sheetData sheetId="9">
        <row r="4">
          <cell r="B4">
            <v>1</v>
          </cell>
        </row>
      </sheetData>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vo"/>
      <sheetName val="Saída"/>
      <sheetName val="Financ"/>
      <sheetName val="BDI"/>
      <sheetName val="Module2"/>
      <sheetName val="ADM"/>
      <sheetName val="OK"/>
      <sheetName val="BDITAXA"/>
      <sheetName val="Total"/>
      <sheetName val="Prog"/>
      <sheetName val="Memorial"/>
    </sheetNames>
    <sheetDataSet>
      <sheetData sheetId="0"/>
      <sheetData sheetId="1"/>
      <sheetData sheetId="2"/>
      <sheetData sheetId="3"/>
      <sheetData sheetId="4" refreshError="1"/>
      <sheetData sheetId="5"/>
      <sheetData sheetId="6">
        <row r="27">
          <cell r="A27">
            <v>1</v>
          </cell>
        </row>
      </sheetData>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ços insumos"/>
      <sheetName val="Tabela de Produdos"/>
      <sheetName val="Traços concreto"/>
      <sheetName val="RES9295"/>
      <sheetName val="TABEMOP"/>
    </sheetNames>
    <sheetDataSet>
      <sheetData sheetId="0">
        <row r="6">
          <cell r="F6">
            <v>3.1689999999999996</v>
          </cell>
        </row>
        <row r="8">
          <cell r="F8">
            <v>3.7004166666666669</v>
          </cell>
        </row>
        <row r="9">
          <cell r="F9">
            <v>4.1120833333333335</v>
          </cell>
        </row>
      </sheetData>
      <sheetData sheetId="1"/>
      <sheetData sheetId="2"/>
      <sheetData sheetId="3" refreshError="1"/>
      <sheetData sheetId="4"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273"/>
  <sheetViews>
    <sheetView showGridLines="0" view="pageBreakPreview" topLeftCell="A190" zoomScale="70" zoomScaleSheetLayoutView="70" workbookViewId="0">
      <selection activeCell="U93" sqref="U93"/>
    </sheetView>
  </sheetViews>
  <sheetFormatPr defaultRowHeight="15.75" x14ac:dyDescent="0.2"/>
  <cols>
    <col min="1" max="1" width="10.83203125" style="117" customWidth="1"/>
    <col min="2" max="2" width="21.5" style="117" bestFit="1" customWidth="1"/>
    <col min="3" max="3" width="80.83203125" style="118" customWidth="1"/>
    <col min="4" max="4" width="18.83203125" style="117" customWidth="1"/>
    <col min="5" max="5" width="18.83203125" style="119" customWidth="1"/>
    <col min="6" max="6" width="18.83203125" style="120" customWidth="1"/>
    <col min="7" max="7" width="18.83203125" style="119" customWidth="1"/>
    <col min="8" max="8" width="18.83203125" style="120" customWidth="1"/>
    <col min="9" max="9" width="12.83203125" style="120" customWidth="1"/>
    <col min="10" max="10" width="17.33203125" style="121" customWidth="1"/>
    <col min="11" max="11" width="20" style="121" customWidth="1"/>
    <col min="12" max="16384" width="9.33203125" style="5"/>
  </cols>
  <sheetData>
    <row r="1" spans="1:11" ht="22.5" x14ac:dyDescent="0.2">
      <c r="A1" s="184" t="s">
        <v>66</v>
      </c>
      <c r="B1" s="185"/>
      <c r="C1" s="185"/>
      <c r="D1" s="185"/>
      <c r="E1" s="185"/>
      <c r="F1" s="185"/>
      <c r="G1" s="185"/>
      <c r="H1" s="185"/>
      <c r="I1" s="186"/>
      <c r="J1" s="4"/>
      <c r="K1" s="4"/>
    </row>
    <row r="2" spans="1:11" x14ac:dyDescent="0.2">
      <c r="A2" s="6"/>
      <c r="B2" s="7"/>
      <c r="C2" s="7"/>
      <c r="D2" s="7"/>
      <c r="E2" s="7"/>
      <c r="F2" s="7"/>
      <c r="G2" s="7"/>
      <c r="H2" s="7"/>
      <c r="I2" s="8"/>
      <c r="J2" s="4"/>
      <c r="K2" s="4"/>
    </row>
    <row r="3" spans="1:11" x14ac:dyDescent="0.2">
      <c r="A3" s="9"/>
      <c r="B3" s="7"/>
      <c r="C3" s="7"/>
      <c r="D3" s="7"/>
      <c r="E3" s="7"/>
      <c r="F3" s="175" t="s">
        <v>540</v>
      </c>
      <c r="G3" s="176"/>
      <c r="H3" s="176"/>
      <c r="I3" s="177"/>
      <c r="J3" s="10"/>
      <c r="K3" s="10"/>
    </row>
    <row r="4" spans="1:11" ht="18.75" x14ac:dyDescent="0.2">
      <c r="A4" s="187" t="s">
        <v>29</v>
      </c>
      <c r="B4" s="188"/>
      <c r="C4" s="188"/>
      <c r="D4" s="188"/>
      <c r="E4" s="189"/>
      <c r="F4" s="178"/>
      <c r="G4" s="179"/>
      <c r="H4" s="179"/>
      <c r="I4" s="180"/>
      <c r="J4" s="10"/>
      <c r="K4" s="10"/>
    </row>
    <row r="5" spans="1:11" ht="31.5" customHeight="1" x14ac:dyDescent="0.2">
      <c r="A5" s="190" t="s">
        <v>427</v>
      </c>
      <c r="B5" s="191"/>
      <c r="C5" s="191"/>
      <c r="D5" s="191"/>
      <c r="E5" s="192"/>
      <c r="F5" s="178"/>
      <c r="G5" s="179"/>
      <c r="H5" s="179"/>
      <c r="I5" s="180"/>
      <c r="J5" s="10"/>
      <c r="K5" s="10"/>
    </row>
    <row r="6" spans="1:11" x14ac:dyDescent="0.2">
      <c r="A6" s="190" t="s">
        <v>541</v>
      </c>
      <c r="B6" s="191"/>
      <c r="C6" s="191"/>
      <c r="D6" s="191"/>
      <c r="E6" s="192"/>
      <c r="F6" s="181"/>
      <c r="G6" s="182"/>
      <c r="H6" s="182"/>
      <c r="I6" s="183"/>
      <c r="J6" s="10"/>
      <c r="K6" s="10"/>
    </row>
    <row r="7" spans="1:11" ht="9.9499999999999993" customHeight="1" x14ac:dyDescent="0.2">
      <c r="A7" s="11"/>
      <c r="B7" s="12"/>
      <c r="C7" s="12"/>
      <c r="D7" s="12"/>
      <c r="E7" s="12"/>
      <c r="F7" s="12"/>
      <c r="G7" s="13"/>
      <c r="H7" s="13"/>
      <c r="I7" s="14"/>
      <c r="J7" s="10"/>
      <c r="K7" s="10"/>
    </row>
    <row r="8" spans="1:11" x14ac:dyDescent="0.2">
      <c r="A8" s="15"/>
      <c r="B8" s="16"/>
      <c r="C8" s="16"/>
      <c r="D8" s="17" t="s">
        <v>58</v>
      </c>
      <c r="E8" s="16"/>
      <c r="F8" s="16"/>
      <c r="G8" s="16"/>
      <c r="H8" s="16"/>
      <c r="I8" s="18"/>
      <c r="J8" s="19"/>
      <c r="K8" s="19"/>
    </row>
    <row r="9" spans="1:11" ht="31.5" x14ac:dyDescent="0.2">
      <c r="A9" s="164" t="s">
        <v>37</v>
      </c>
      <c r="B9" s="164"/>
      <c r="C9" s="20" t="s">
        <v>38</v>
      </c>
      <c r="D9" s="20" t="s">
        <v>39</v>
      </c>
      <c r="E9" s="165">
        <f>ROUND((((1+D10+D13+D14)*(1+D12)*(1+D11))/(1-(D15+0.045)))-1,4)</f>
        <v>0.3</v>
      </c>
      <c r="F9" s="166"/>
      <c r="G9" s="166"/>
      <c r="H9" s="166"/>
      <c r="I9" s="167"/>
      <c r="J9" s="21" t="s">
        <v>332</v>
      </c>
      <c r="K9" s="22">
        <v>0</v>
      </c>
    </row>
    <row r="10" spans="1:11" x14ac:dyDescent="0.2">
      <c r="A10" s="168" t="s">
        <v>40</v>
      </c>
      <c r="B10" s="168"/>
      <c r="C10" s="23" t="s">
        <v>41</v>
      </c>
      <c r="D10" s="35">
        <v>5.5E-2</v>
      </c>
      <c r="E10" s="169" t="s">
        <v>42</v>
      </c>
      <c r="F10" s="170"/>
      <c r="G10" s="170"/>
      <c r="H10" s="170"/>
      <c r="I10" s="171"/>
      <c r="J10" s="24"/>
      <c r="K10" s="24"/>
    </row>
    <row r="11" spans="1:11" x14ac:dyDescent="0.2">
      <c r="A11" s="151" t="s">
        <v>43</v>
      </c>
      <c r="B11" s="152"/>
      <c r="C11" s="25" t="s">
        <v>44</v>
      </c>
      <c r="D11" s="36">
        <v>6.9000000000000006E-2</v>
      </c>
      <c r="E11" s="172"/>
      <c r="F11" s="173"/>
      <c r="G11" s="173"/>
      <c r="H11" s="173"/>
      <c r="I11" s="174"/>
      <c r="J11" s="24"/>
      <c r="K11" s="24"/>
    </row>
    <row r="12" spans="1:11" x14ac:dyDescent="0.2">
      <c r="A12" s="151" t="s">
        <v>45</v>
      </c>
      <c r="B12" s="152"/>
      <c r="C12" s="25" t="s">
        <v>46</v>
      </c>
      <c r="D12" s="36">
        <v>1.3899999999999999E-2</v>
      </c>
      <c r="E12" s="172"/>
      <c r="F12" s="173"/>
      <c r="G12" s="173"/>
      <c r="H12" s="173"/>
      <c r="I12" s="174"/>
      <c r="J12" s="24"/>
      <c r="K12" s="24"/>
    </row>
    <row r="13" spans="1:11" x14ac:dyDescent="0.2">
      <c r="A13" s="151" t="s">
        <v>47</v>
      </c>
      <c r="B13" s="152"/>
      <c r="C13" s="25" t="s">
        <v>48</v>
      </c>
      <c r="D13" s="36">
        <v>0.01</v>
      </c>
      <c r="E13" s="153" t="s">
        <v>52</v>
      </c>
      <c r="F13" s="154"/>
      <c r="G13" s="154"/>
      <c r="H13" s="154"/>
      <c r="I13" s="155"/>
      <c r="J13" s="26"/>
      <c r="K13" s="26"/>
    </row>
    <row r="14" spans="1:11" x14ac:dyDescent="0.2">
      <c r="A14" s="151" t="s">
        <v>49</v>
      </c>
      <c r="B14" s="152"/>
      <c r="C14" s="25" t="s">
        <v>50</v>
      </c>
      <c r="D14" s="36">
        <v>1.2699999999999999E-2</v>
      </c>
      <c r="E14" s="153"/>
      <c r="F14" s="154"/>
      <c r="G14" s="154"/>
      <c r="H14" s="154"/>
      <c r="I14" s="155"/>
      <c r="J14" s="26"/>
      <c r="K14" s="26"/>
    </row>
    <row r="15" spans="1:11" x14ac:dyDescent="0.2">
      <c r="A15" s="159" t="s">
        <v>51</v>
      </c>
      <c r="B15" s="160"/>
      <c r="C15" s="27" t="s">
        <v>426</v>
      </c>
      <c r="D15" s="37">
        <v>5.6500000000000002E-2</v>
      </c>
      <c r="E15" s="156"/>
      <c r="F15" s="157"/>
      <c r="G15" s="157"/>
      <c r="H15" s="157"/>
      <c r="I15" s="158"/>
      <c r="J15" s="26"/>
      <c r="K15" s="26"/>
    </row>
    <row r="16" spans="1:11" s="2" customFormat="1" ht="9.9499999999999993" customHeight="1" x14ac:dyDescent="0.2">
      <c r="A16" s="28"/>
      <c r="B16" s="29"/>
      <c r="C16" s="29"/>
      <c r="D16" s="30"/>
      <c r="E16" s="31"/>
      <c r="F16" s="31"/>
      <c r="G16" s="31"/>
      <c r="H16" s="31"/>
      <c r="I16" s="32"/>
      <c r="J16" s="26"/>
      <c r="K16" s="26"/>
    </row>
    <row r="17" spans="1:11" s="2" customFormat="1" x14ac:dyDescent="0.2">
      <c r="A17" s="161" t="s">
        <v>325</v>
      </c>
      <c r="B17" s="162"/>
      <c r="C17" s="162"/>
      <c r="D17" s="162"/>
      <c r="E17" s="162"/>
      <c r="F17" s="162"/>
      <c r="G17" s="162"/>
      <c r="H17" s="162"/>
      <c r="I17" s="163"/>
      <c r="J17" s="33"/>
      <c r="K17" s="33"/>
    </row>
    <row r="18" spans="1:11" s="2" customFormat="1" ht="31.5" x14ac:dyDescent="0.2">
      <c r="A18" s="164" t="s">
        <v>37</v>
      </c>
      <c r="B18" s="164"/>
      <c r="C18" s="20" t="s">
        <v>38</v>
      </c>
      <c r="D18" s="20" t="s">
        <v>39</v>
      </c>
      <c r="E18" s="165">
        <f>ROUND((((1+D19+D22)*(1+D21)*(1+D20))/(1-(D23+0.045)))-1,4)</f>
        <v>0.13059999999999999</v>
      </c>
      <c r="F18" s="166"/>
      <c r="G18" s="166"/>
      <c r="H18" s="166"/>
      <c r="I18" s="167"/>
      <c r="J18" s="34"/>
      <c r="K18" s="34"/>
    </row>
    <row r="19" spans="1:11" s="2" customFormat="1" x14ac:dyDescent="0.2">
      <c r="A19" s="168" t="s">
        <v>40</v>
      </c>
      <c r="B19" s="168"/>
      <c r="C19" s="23" t="s">
        <v>53</v>
      </c>
      <c r="D19" s="35">
        <v>1.2999999999999999E-2</v>
      </c>
      <c r="E19" s="169" t="s">
        <v>42</v>
      </c>
      <c r="F19" s="170"/>
      <c r="G19" s="170"/>
      <c r="H19" s="170"/>
      <c r="I19" s="171"/>
      <c r="J19" s="24"/>
      <c r="K19" s="24"/>
    </row>
    <row r="20" spans="1:11" s="2" customFormat="1" x14ac:dyDescent="0.2">
      <c r="A20" s="151" t="s">
        <v>43</v>
      </c>
      <c r="B20" s="152"/>
      <c r="C20" s="25" t="s">
        <v>54</v>
      </c>
      <c r="D20" s="36">
        <v>1.7500000000000002E-2</v>
      </c>
      <c r="E20" s="172"/>
      <c r="F20" s="173"/>
      <c r="G20" s="173"/>
      <c r="H20" s="173"/>
      <c r="I20" s="174"/>
      <c r="J20" s="24"/>
      <c r="K20" s="24"/>
    </row>
    <row r="21" spans="1:11" s="2" customFormat="1" x14ac:dyDescent="0.2">
      <c r="A21" s="151" t="s">
        <v>45</v>
      </c>
      <c r="B21" s="152"/>
      <c r="C21" s="25" t="s">
        <v>55</v>
      </c>
      <c r="D21" s="36">
        <v>5.0000000000000001E-3</v>
      </c>
      <c r="E21" s="153" t="s">
        <v>52</v>
      </c>
      <c r="F21" s="154"/>
      <c r="G21" s="154"/>
      <c r="H21" s="154"/>
      <c r="I21" s="155"/>
      <c r="J21" s="24"/>
      <c r="K21" s="24"/>
    </row>
    <row r="22" spans="1:11" s="2" customFormat="1" x14ac:dyDescent="0.2">
      <c r="A22" s="151" t="s">
        <v>57</v>
      </c>
      <c r="B22" s="152"/>
      <c r="C22" s="25" t="s">
        <v>56</v>
      </c>
      <c r="D22" s="36">
        <v>2.5000000000000001E-3</v>
      </c>
      <c r="E22" s="153"/>
      <c r="F22" s="154"/>
      <c r="G22" s="154"/>
      <c r="H22" s="154"/>
      <c r="I22" s="155"/>
      <c r="J22" s="26"/>
      <c r="K22" s="26"/>
    </row>
    <row r="23" spans="1:11" s="2" customFormat="1" x14ac:dyDescent="0.2">
      <c r="A23" s="159" t="s">
        <v>51</v>
      </c>
      <c r="B23" s="160"/>
      <c r="C23" s="27" t="s">
        <v>65</v>
      </c>
      <c r="D23" s="37">
        <v>3.6499999999999998E-2</v>
      </c>
      <c r="E23" s="156"/>
      <c r="F23" s="157"/>
      <c r="G23" s="157"/>
      <c r="H23" s="157"/>
      <c r="I23" s="158"/>
      <c r="J23" s="26"/>
      <c r="K23" s="26"/>
    </row>
    <row r="24" spans="1:11" s="2" customFormat="1" ht="9.9499999999999993" customHeight="1" x14ac:dyDescent="0.2">
      <c r="A24" s="28"/>
      <c r="B24" s="29"/>
      <c r="C24" s="29"/>
      <c r="D24" s="30"/>
      <c r="E24" s="31"/>
      <c r="F24" s="31"/>
      <c r="G24" s="31"/>
      <c r="H24" s="31"/>
      <c r="I24" s="32"/>
      <c r="J24" s="26"/>
      <c r="K24" s="26"/>
    </row>
    <row r="25" spans="1:11" s="2" customFormat="1" x14ac:dyDescent="0.2">
      <c r="A25" s="161" t="s">
        <v>331</v>
      </c>
      <c r="B25" s="162"/>
      <c r="C25" s="162"/>
      <c r="D25" s="162"/>
      <c r="E25" s="162"/>
      <c r="F25" s="162"/>
      <c r="G25" s="162"/>
      <c r="H25" s="162"/>
      <c r="I25" s="163"/>
      <c r="J25" s="33"/>
      <c r="K25" s="33"/>
    </row>
    <row r="26" spans="1:11" s="2" customFormat="1" ht="31.5" x14ac:dyDescent="0.2">
      <c r="A26" s="164" t="s">
        <v>37</v>
      </c>
      <c r="B26" s="164"/>
      <c r="C26" s="20" t="s">
        <v>38</v>
      </c>
      <c r="D26" s="20" t="s">
        <v>39</v>
      </c>
      <c r="E26" s="165">
        <f>ROUND((((1+D27+D30)*(1+D29)*(1+D28))/(1-(D31+0.045)))-1,4)</f>
        <v>4.7100000000000003E-2</v>
      </c>
      <c r="F26" s="166"/>
      <c r="G26" s="166"/>
      <c r="H26" s="166"/>
      <c r="I26" s="167"/>
      <c r="J26" s="34"/>
      <c r="K26" s="34"/>
    </row>
    <row r="27" spans="1:11" s="2" customFormat="1" x14ac:dyDescent="0.2">
      <c r="A27" s="168" t="s">
        <v>40</v>
      </c>
      <c r="B27" s="168"/>
      <c r="C27" s="23" t="s">
        <v>53</v>
      </c>
      <c r="D27" s="35">
        <v>0</v>
      </c>
      <c r="E27" s="169" t="s">
        <v>42</v>
      </c>
      <c r="F27" s="170"/>
      <c r="G27" s="170"/>
      <c r="H27" s="170"/>
      <c r="I27" s="171"/>
      <c r="J27" s="24"/>
      <c r="K27" s="24"/>
    </row>
    <row r="28" spans="1:11" s="2" customFormat="1" x14ac:dyDescent="0.2">
      <c r="A28" s="151" t="s">
        <v>43</v>
      </c>
      <c r="B28" s="152"/>
      <c r="C28" s="25" t="s">
        <v>54</v>
      </c>
      <c r="D28" s="36">
        <v>0</v>
      </c>
      <c r="E28" s="172"/>
      <c r="F28" s="173"/>
      <c r="G28" s="173"/>
      <c r="H28" s="173"/>
      <c r="I28" s="174"/>
      <c r="J28" s="24"/>
      <c r="K28" s="24"/>
    </row>
    <row r="29" spans="1:11" s="2" customFormat="1" x14ac:dyDescent="0.2">
      <c r="A29" s="151" t="s">
        <v>45</v>
      </c>
      <c r="B29" s="152"/>
      <c r="C29" s="25" t="s">
        <v>55</v>
      </c>
      <c r="D29" s="36">
        <v>0</v>
      </c>
      <c r="E29" s="153" t="s">
        <v>52</v>
      </c>
      <c r="F29" s="154"/>
      <c r="G29" s="154"/>
      <c r="H29" s="154"/>
      <c r="I29" s="155"/>
      <c r="J29" s="24"/>
      <c r="K29" s="24"/>
    </row>
    <row r="30" spans="1:11" s="2" customFormat="1" x14ac:dyDescent="0.2">
      <c r="A30" s="151" t="s">
        <v>57</v>
      </c>
      <c r="B30" s="152"/>
      <c r="C30" s="25" t="s">
        <v>56</v>
      </c>
      <c r="D30" s="36">
        <v>0</v>
      </c>
      <c r="E30" s="153"/>
      <c r="F30" s="154"/>
      <c r="G30" s="154"/>
      <c r="H30" s="154"/>
      <c r="I30" s="155"/>
      <c r="J30" s="26"/>
      <c r="K30" s="26"/>
    </row>
    <row r="31" spans="1:11" s="2" customFormat="1" x14ac:dyDescent="0.2">
      <c r="A31" s="159" t="s">
        <v>51</v>
      </c>
      <c r="B31" s="160"/>
      <c r="C31" s="27" t="s">
        <v>65</v>
      </c>
      <c r="D31" s="37">
        <v>0</v>
      </c>
      <c r="E31" s="156"/>
      <c r="F31" s="157"/>
      <c r="G31" s="157"/>
      <c r="H31" s="157"/>
      <c r="I31" s="158"/>
      <c r="J31" s="26"/>
      <c r="K31" s="26"/>
    </row>
    <row r="32" spans="1:11" s="2" customFormat="1" ht="9.9499999999999993" customHeight="1" x14ac:dyDescent="0.2">
      <c r="A32" s="38"/>
      <c r="B32" s="39"/>
      <c r="C32" s="39"/>
      <c r="D32" s="39"/>
      <c r="E32" s="40"/>
      <c r="F32" s="40"/>
      <c r="G32" s="40"/>
      <c r="H32" s="40"/>
      <c r="I32" s="41"/>
      <c r="J32" s="42"/>
      <c r="K32" s="42"/>
    </row>
    <row r="33" spans="1:11" s="2" customFormat="1" ht="31.5" x14ac:dyDescent="0.2">
      <c r="A33" s="43" t="s">
        <v>2</v>
      </c>
      <c r="B33" s="43" t="s">
        <v>3</v>
      </c>
      <c r="C33" s="43" t="s">
        <v>60</v>
      </c>
      <c r="D33" s="43" t="s">
        <v>61</v>
      </c>
      <c r="E33" s="44" t="s">
        <v>4</v>
      </c>
      <c r="F33" s="44" t="s">
        <v>5</v>
      </c>
      <c r="G33" s="44" t="s">
        <v>1</v>
      </c>
      <c r="H33" s="44" t="s">
        <v>6</v>
      </c>
      <c r="I33" s="44" t="s">
        <v>8</v>
      </c>
      <c r="J33" s="44" t="s">
        <v>333</v>
      </c>
      <c r="K33" s="44" t="s">
        <v>5</v>
      </c>
    </row>
    <row r="34" spans="1:11" s="2" customFormat="1" ht="31.5" x14ac:dyDescent="0.2">
      <c r="A34" s="43">
        <v>1</v>
      </c>
      <c r="B34" s="45"/>
      <c r="C34" s="46" t="s">
        <v>330</v>
      </c>
      <c r="D34" s="47"/>
      <c r="E34" s="48"/>
      <c r="F34" s="49"/>
      <c r="G34" s="48"/>
      <c r="H34" s="49"/>
      <c r="I34" s="50"/>
      <c r="J34" s="51"/>
      <c r="K34" s="51"/>
    </row>
    <row r="35" spans="1:11" s="2" customFormat="1" ht="110.25" x14ac:dyDescent="0.2">
      <c r="A35" s="52" t="s">
        <v>341</v>
      </c>
      <c r="B35" s="53" t="s">
        <v>429</v>
      </c>
      <c r="C35" s="54" t="s">
        <v>428</v>
      </c>
      <c r="D35" s="55" t="s">
        <v>89</v>
      </c>
      <c r="E35" s="56">
        <v>2</v>
      </c>
      <c r="F35" s="56">
        <f t="shared" ref="F35:F38" si="0">ROUND(K35*(1-$K$9),2)</f>
        <v>675</v>
      </c>
      <c r="G35" s="56">
        <f t="shared" ref="G35:G38" si="1">ROUND(F35*(IF(J35="O",(1+$E$9),IF(J35="E",(1+$E$18),(1+$E$26)))),2)</f>
        <v>877.5</v>
      </c>
      <c r="H35" s="56">
        <f t="shared" ref="H35:H36" si="2">ROUND((E35*G35),2)</f>
        <v>1755</v>
      </c>
      <c r="I35" s="57">
        <f>H35/$H$256</f>
        <v>3.618556701030928E-3</v>
      </c>
      <c r="J35" s="1" t="s">
        <v>59</v>
      </c>
      <c r="K35" s="3">
        <v>675</v>
      </c>
    </row>
    <row r="36" spans="1:11" s="2" customFormat="1" ht="94.5" x14ac:dyDescent="0.2">
      <c r="A36" s="52" t="s">
        <v>342</v>
      </c>
      <c r="B36" s="53" t="s">
        <v>85</v>
      </c>
      <c r="C36" s="54" t="s">
        <v>86</v>
      </c>
      <c r="D36" s="55" t="s">
        <v>7</v>
      </c>
      <c r="E36" s="56">
        <v>1</v>
      </c>
      <c r="F36" s="56">
        <f t="shared" si="0"/>
        <v>1224.69</v>
      </c>
      <c r="G36" s="56">
        <f t="shared" si="1"/>
        <v>1592.1</v>
      </c>
      <c r="H36" s="56">
        <f t="shared" si="2"/>
        <v>1592.1</v>
      </c>
      <c r="I36" s="57">
        <f>H36/$H$256</f>
        <v>3.2826804123711338E-3</v>
      </c>
      <c r="J36" s="1" t="s">
        <v>59</v>
      </c>
      <c r="K36" s="3">
        <v>1224.69</v>
      </c>
    </row>
    <row r="37" spans="1:11" s="2" customFormat="1" x14ac:dyDescent="0.2">
      <c r="A37" s="52" t="s">
        <v>343</v>
      </c>
      <c r="B37" s="53" t="s">
        <v>87</v>
      </c>
      <c r="C37" s="54" t="s">
        <v>88</v>
      </c>
      <c r="D37" s="55" t="s">
        <v>89</v>
      </c>
      <c r="E37" s="56">
        <v>3</v>
      </c>
      <c r="F37" s="56">
        <f t="shared" si="0"/>
        <v>800</v>
      </c>
      <c r="G37" s="56">
        <f t="shared" si="1"/>
        <v>1040</v>
      </c>
      <c r="H37" s="56">
        <f t="shared" ref="H37:H38" si="3">ROUND((E37*G37),2)</f>
        <v>3120</v>
      </c>
      <c r="I37" s="57">
        <f>H37/$H$256</f>
        <v>6.4329896907216492E-3</v>
      </c>
      <c r="J37" s="1" t="s">
        <v>59</v>
      </c>
      <c r="K37" s="3">
        <v>800</v>
      </c>
    </row>
    <row r="38" spans="1:11" s="2" customFormat="1" x14ac:dyDescent="0.2">
      <c r="A38" s="52" t="s">
        <v>344</v>
      </c>
      <c r="B38" s="53" t="s">
        <v>90</v>
      </c>
      <c r="C38" s="54" t="s">
        <v>91</v>
      </c>
      <c r="D38" s="55" t="s">
        <v>0</v>
      </c>
      <c r="E38" s="56">
        <v>272.24</v>
      </c>
      <c r="F38" s="56">
        <f t="shared" si="0"/>
        <v>8.61</v>
      </c>
      <c r="G38" s="56">
        <f t="shared" si="1"/>
        <v>11.19</v>
      </c>
      <c r="H38" s="56">
        <f t="shared" si="3"/>
        <v>3046.37</v>
      </c>
      <c r="I38" s="57">
        <f>H38/$H$256</f>
        <v>6.2811752577319581E-3</v>
      </c>
      <c r="J38" s="1" t="s">
        <v>59</v>
      </c>
      <c r="K38" s="3">
        <v>8.61</v>
      </c>
    </row>
    <row r="39" spans="1:11" x14ac:dyDescent="0.2">
      <c r="A39" s="58"/>
      <c r="B39" s="59"/>
      <c r="C39" s="46" t="s">
        <v>67</v>
      </c>
      <c r="D39" s="59"/>
      <c r="E39" s="60"/>
      <c r="F39" s="61"/>
      <c r="G39" s="62"/>
      <c r="H39" s="63">
        <f>ROUND(SUM(H35:H38),2)</f>
        <v>9513.4699999999993</v>
      </c>
      <c r="I39" s="64">
        <f>H39/$H$256</f>
        <v>1.961540206185567E-2</v>
      </c>
      <c r="J39" s="65"/>
      <c r="K39" s="66"/>
    </row>
    <row r="40" spans="1:11" ht="9.9499999999999993" customHeight="1" x14ac:dyDescent="0.2">
      <c r="A40" s="67"/>
      <c r="B40" s="68"/>
      <c r="C40" s="68"/>
      <c r="D40" s="68"/>
      <c r="E40" s="69"/>
      <c r="F40" s="69"/>
      <c r="G40" s="69"/>
      <c r="H40" s="69"/>
      <c r="I40" s="70"/>
      <c r="J40" s="71"/>
      <c r="K40" s="51"/>
    </row>
    <row r="41" spans="1:11" x14ac:dyDescent="0.2">
      <c r="A41" s="43">
        <v>2</v>
      </c>
      <c r="B41" s="72"/>
      <c r="C41" s="46" t="s">
        <v>315</v>
      </c>
      <c r="D41" s="47"/>
      <c r="E41" s="48"/>
      <c r="F41" s="49"/>
      <c r="G41" s="48"/>
      <c r="H41" s="49"/>
      <c r="I41" s="50"/>
      <c r="J41" s="73"/>
      <c r="K41" s="74"/>
    </row>
    <row r="42" spans="1:11" s="2" customFormat="1" ht="31.5" x14ac:dyDescent="0.2">
      <c r="A42" s="52" t="s">
        <v>345</v>
      </c>
      <c r="B42" s="53" t="s">
        <v>92</v>
      </c>
      <c r="C42" s="54" t="s">
        <v>93</v>
      </c>
      <c r="D42" s="55" t="s">
        <v>11</v>
      </c>
      <c r="E42" s="56">
        <v>25.34</v>
      </c>
      <c r="F42" s="56">
        <f t="shared" ref="F42:F50" si="4">ROUND(K42*(1-$K$9),2)</f>
        <v>55.11</v>
      </c>
      <c r="G42" s="56">
        <f t="shared" ref="G42:G50" si="5">ROUND(F42*(IF(J42="O",(1+$E$9),IF(J42="E",(1+$E$18),(1+$E$26)))),2)</f>
        <v>71.64</v>
      </c>
      <c r="H42" s="56">
        <f t="shared" ref="H42:H50" si="6">ROUND((E42*G42),2)</f>
        <v>1815.36</v>
      </c>
      <c r="I42" s="57">
        <f t="shared" ref="I42:I51" si="7">H42/$H$256</f>
        <v>3.7430103092783505E-3</v>
      </c>
      <c r="J42" s="1" t="s">
        <v>59</v>
      </c>
      <c r="K42" s="3">
        <v>55.11</v>
      </c>
    </row>
    <row r="43" spans="1:11" s="2" customFormat="1" x14ac:dyDescent="0.2">
      <c r="A43" s="52" t="s">
        <v>346</v>
      </c>
      <c r="B43" s="53" t="s">
        <v>94</v>
      </c>
      <c r="C43" s="54" t="s">
        <v>95</v>
      </c>
      <c r="D43" s="55" t="s">
        <v>0</v>
      </c>
      <c r="E43" s="56">
        <f>68.95</f>
        <v>68.95</v>
      </c>
      <c r="F43" s="56">
        <f t="shared" si="4"/>
        <v>18.64</v>
      </c>
      <c r="G43" s="56">
        <f t="shared" si="5"/>
        <v>24.23</v>
      </c>
      <c r="H43" s="56">
        <f t="shared" si="6"/>
        <v>1670.66</v>
      </c>
      <c r="I43" s="57">
        <f t="shared" si="7"/>
        <v>3.4446597938144331E-3</v>
      </c>
      <c r="J43" s="1" t="s">
        <v>59</v>
      </c>
      <c r="K43" s="3">
        <v>18.64</v>
      </c>
    </row>
    <row r="44" spans="1:11" s="2" customFormat="1" x14ac:dyDescent="0.2">
      <c r="A44" s="52" t="s">
        <v>347</v>
      </c>
      <c r="B44" s="53" t="s">
        <v>96</v>
      </c>
      <c r="C44" s="54" t="s">
        <v>13</v>
      </c>
      <c r="D44" s="55" t="s">
        <v>11</v>
      </c>
      <c r="E44" s="56">
        <f>12</f>
        <v>12</v>
      </c>
      <c r="F44" s="56">
        <f t="shared" si="4"/>
        <v>55.35</v>
      </c>
      <c r="G44" s="56">
        <f t="shared" si="5"/>
        <v>71.959999999999994</v>
      </c>
      <c r="H44" s="56">
        <f t="shared" si="6"/>
        <v>863.52</v>
      </c>
      <c r="I44" s="57">
        <f t="shared" si="7"/>
        <v>1.7804536082474227E-3</v>
      </c>
      <c r="J44" s="1" t="s">
        <v>59</v>
      </c>
      <c r="K44" s="3">
        <v>55.35</v>
      </c>
    </row>
    <row r="45" spans="1:11" s="2" customFormat="1" ht="47.25" x14ac:dyDescent="0.2">
      <c r="A45" s="52" t="s">
        <v>430</v>
      </c>
      <c r="B45" s="53">
        <v>100899</v>
      </c>
      <c r="C45" s="54" t="s">
        <v>425</v>
      </c>
      <c r="D45" s="55" t="s">
        <v>14</v>
      </c>
      <c r="E45" s="56">
        <f>27*3</f>
        <v>81</v>
      </c>
      <c r="F45" s="56">
        <f t="shared" ref="F45" si="8">ROUND(K45*(1-$K$9),2)</f>
        <v>85.42</v>
      </c>
      <c r="G45" s="56">
        <f t="shared" ref="G45" si="9">ROUND(F45*(IF(J45="O",(1+$E$9),IF(J45="E",(1+$E$18),(1+$E$26)))),2)</f>
        <v>111.05</v>
      </c>
      <c r="H45" s="56">
        <f t="shared" ref="H45" si="10">ROUND((E45*G45),2)</f>
        <v>8995.0499999999993</v>
      </c>
      <c r="I45" s="57">
        <f t="shared" si="7"/>
        <v>1.8546494845360823E-2</v>
      </c>
      <c r="J45" s="1" t="s">
        <v>59</v>
      </c>
      <c r="K45" s="3">
        <v>85.42</v>
      </c>
    </row>
    <row r="46" spans="1:11" s="2" customFormat="1" ht="47.25" x14ac:dyDescent="0.2">
      <c r="A46" s="52" t="s">
        <v>431</v>
      </c>
      <c r="B46" s="53" t="s">
        <v>97</v>
      </c>
      <c r="C46" s="54" t="s">
        <v>98</v>
      </c>
      <c r="D46" s="55" t="s">
        <v>11</v>
      </c>
      <c r="E46" s="56">
        <f>(2.12+5.11)</f>
        <v>7.23</v>
      </c>
      <c r="F46" s="56">
        <f t="shared" si="4"/>
        <v>622.54</v>
      </c>
      <c r="G46" s="56">
        <f t="shared" si="5"/>
        <v>809.3</v>
      </c>
      <c r="H46" s="56">
        <f t="shared" si="6"/>
        <v>5851.24</v>
      </c>
      <c r="I46" s="57">
        <f t="shared" si="7"/>
        <v>1.2064412371134019E-2</v>
      </c>
      <c r="J46" s="1" t="s">
        <v>59</v>
      </c>
      <c r="K46" s="3">
        <v>622.54</v>
      </c>
    </row>
    <row r="47" spans="1:11" s="2" customFormat="1" ht="31.5" x14ac:dyDescent="0.2">
      <c r="A47" s="52" t="s">
        <v>432</v>
      </c>
      <c r="B47" s="53" t="s">
        <v>297</v>
      </c>
      <c r="C47" s="54" t="s">
        <v>298</v>
      </c>
      <c r="D47" s="55" t="s">
        <v>11</v>
      </c>
      <c r="E47" s="56">
        <f>(1.76+4.68)/3</f>
        <v>2.1466666666666665</v>
      </c>
      <c r="F47" s="56">
        <f t="shared" si="4"/>
        <v>444.13</v>
      </c>
      <c r="G47" s="56">
        <f t="shared" si="5"/>
        <v>577.37</v>
      </c>
      <c r="H47" s="56">
        <f t="shared" si="6"/>
        <v>1239.42</v>
      </c>
      <c r="I47" s="57">
        <f t="shared" si="7"/>
        <v>2.5555051546391756E-3</v>
      </c>
      <c r="J47" s="1" t="s">
        <v>59</v>
      </c>
      <c r="K47" s="3">
        <v>444.13</v>
      </c>
    </row>
    <row r="48" spans="1:11" s="2" customFormat="1" x14ac:dyDescent="0.2">
      <c r="A48" s="52" t="s">
        <v>433</v>
      </c>
      <c r="B48" s="53" t="s">
        <v>299</v>
      </c>
      <c r="C48" s="54" t="s">
        <v>300</v>
      </c>
      <c r="D48" s="55" t="s">
        <v>12</v>
      </c>
      <c r="E48" s="56">
        <f>361+243.6</f>
        <v>604.6</v>
      </c>
      <c r="F48" s="56">
        <f t="shared" si="4"/>
        <v>18.88</v>
      </c>
      <c r="G48" s="56">
        <f t="shared" si="5"/>
        <v>24.54</v>
      </c>
      <c r="H48" s="56">
        <f t="shared" si="6"/>
        <v>14836.88</v>
      </c>
      <c r="I48" s="57">
        <f t="shared" si="7"/>
        <v>3.0591505154639174E-2</v>
      </c>
      <c r="J48" s="1" t="s">
        <v>59</v>
      </c>
      <c r="K48" s="3">
        <v>18.88</v>
      </c>
    </row>
    <row r="49" spans="1:11" s="2" customFormat="1" ht="31.5" x14ac:dyDescent="0.2">
      <c r="A49" s="52" t="s">
        <v>442</v>
      </c>
      <c r="B49" s="53" t="s">
        <v>301</v>
      </c>
      <c r="C49" s="54" t="s">
        <v>302</v>
      </c>
      <c r="D49" s="55" t="s">
        <v>0</v>
      </c>
      <c r="E49" s="56">
        <f>82.9</f>
        <v>82.9</v>
      </c>
      <c r="F49" s="56">
        <f t="shared" si="4"/>
        <v>56.01</v>
      </c>
      <c r="G49" s="56">
        <f t="shared" si="5"/>
        <v>72.81</v>
      </c>
      <c r="H49" s="56">
        <f t="shared" si="6"/>
        <v>6035.95</v>
      </c>
      <c r="I49" s="57">
        <f t="shared" si="7"/>
        <v>1.2445257731958762E-2</v>
      </c>
      <c r="J49" s="1" t="s">
        <v>59</v>
      </c>
      <c r="K49" s="3">
        <v>56.01</v>
      </c>
    </row>
    <row r="50" spans="1:11" s="2" customFormat="1" x14ac:dyDescent="0.2">
      <c r="A50" s="52" t="s">
        <v>443</v>
      </c>
      <c r="B50" s="53" t="s">
        <v>324</v>
      </c>
      <c r="C50" s="54" t="s">
        <v>323</v>
      </c>
      <c r="D50" s="55" t="s">
        <v>0</v>
      </c>
      <c r="E50" s="56">
        <f>E49</f>
        <v>82.9</v>
      </c>
      <c r="F50" s="56">
        <f t="shared" si="4"/>
        <v>20.170000000000002</v>
      </c>
      <c r="G50" s="56">
        <f t="shared" si="5"/>
        <v>26.22</v>
      </c>
      <c r="H50" s="56">
        <f t="shared" si="6"/>
        <v>2173.64</v>
      </c>
      <c r="I50" s="57">
        <f t="shared" si="7"/>
        <v>4.481731958762886E-3</v>
      </c>
      <c r="J50" s="1" t="s">
        <v>59</v>
      </c>
      <c r="K50" s="3">
        <v>20.170000000000002</v>
      </c>
    </row>
    <row r="51" spans="1:11" s="77" customFormat="1" x14ac:dyDescent="0.2">
      <c r="A51" s="75"/>
      <c r="B51" s="59"/>
      <c r="C51" s="46" t="s">
        <v>74</v>
      </c>
      <c r="D51" s="59"/>
      <c r="E51" s="60"/>
      <c r="F51" s="61"/>
      <c r="G51" s="62"/>
      <c r="H51" s="63">
        <f>ROUND(SUM(H42:H50),2)</f>
        <v>43481.72</v>
      </c>
      <c r="I51" s="76">
        <f t="shared" si="7"/>
        <v>8.9653030927835053E-2</v>
      </c>
      <c r="J51" s="65"/>
      <c r="K51" s="220"/>
    </row>
    <row r="52" spans="1:11" ht="9.9499999999999993" customHeight="1" x14ac:dyDescent="0.2">
      <c r="A52" s="67"/>
      <c r="B52" s="68"/>
      <c r="C52" s="68"/>
      <c r="D52" s="68"/>
      <c r="E52" s="69"/>
      <c r="F52" s="69"/>
      <c r="G52" s="69"/>
      <c r="H52" s="69"/>
      <c r="I52" s="70"/>
      <c r="J52" s="71"/>
      <c r="K52" s="51"/>
    </row>
    <row r="53" spans="1:11" x14ac:dyDescent="0.2">
      <c r="A53" s="43">
        <v>3</v>
      </c>
      <c r="B53" s="45"/>
      <c r="C53" s="46" t="s">
        <v>10</v>
      </c>
      <c r="D53" s="47"/>
      <c r="E53" s="48"/>
      <c r="F53" s="49"/>
      <c r="G53" s="48"/>
      <c r="H53" s="49"/>
      <c r="I53" s="50"/>
      <c r="J53" s="73"/>
      <c r="K53" s="74"/>
    </row>
    <row r="54" spans="1:11" s="2" customFormat="1" x14ac:dyDescent="0.2">
      <c r="A54" s="52" t="s">
        <v>348</v>
      </c>
      <c r="B54" s="53" t="s">
        <v>299</v>
      </c>
      <c r="C54" s="54" t="s">
        <v>300</v>
      </c>
      <c r="D54" s="55" t="s">
        <v>12</v>
      </c>
      <c r="E54" s="56">
        <f>1296.9-77</f>
        <v>1219.9000000000001</v>
      </c>
      <c r="F54" s="56">
        <f t="shared" ref="F54:F57" si="11">ROUND(K54*(1-$K$9),2)</f>
        <v>12.88</v>
      </c>
      <c r="G54" s="56">
        <f t="shared" ref="G54:G57" si="12">ROUND(F54*(IF(J54="O",(1+$E$9),IF(J54="E",(1+$E$18),(1+$E$26)))),2)</f>
        <v>16.739999999999998</v>
      </c>
      <c r="H54" s="56">
        <f t="shared" ref="H54:H57" si="13">ROUND((E54*G54),2)</f>
        <v>20421.13</v>
      </c>
      <c r="I54" s="57">
        <f>H54/$H$256</f>
        <v>4.2105422680412376E-2</v>
      </c>
      <c r="J54" s="1" t="s">
        <v>59</v>
      </c>
      <c r="K54" s="3">
        <v>12.88</v>
      </c>
    </row>
    <row r="55" spans="1:11" s="2" customFormat="1" ht="31.5" customHeight="1" x14ac:dyDescent="0.2">
      <c r="A55" s="52" t="s">
        <v>349</v>
      </c>
      <c r="B55" s="53" t="s">
        <v>301</v>
      </c>
      <c r="C55" s="54" t="s">
        <v>302</v>
      </c>
      <c r="D55" s="55" t="s">
        <v>0</v>
      </c>
      <c r="E55" s="56">
        <v>260.2</v>
      </c>
      <c r="F55" s="56">
        <f t="shared" si="11"/>
        <v>56.01</v>
      </c>
      <c r="G55" s="56">
        <f t="shared" si="12"/>
        <v>72.81</v>
      </c>
      <c r="H55" s="56">
        <f t="shared" si="13"/>
        <v>18945.16</v>
      </c>
      <c r="I55" s="57">
        <f>H55/$H$256</f>
        <v>3.9062185567010306E-2</v>
      </c>
      <c r="J55" s="1" t="s">
        <v>59</v>
      </c>
      <c r="K55" s="3">
        <v>56.01</v>
      </c>
    </row>
    <row r="56" spans="1:11" s="2" customFormat="1" ht="47.25" x14ac:dyDescent="0.2">
      <c r="A56" s="52" t="s">
        <v>350</v>
      </c>
      <c r="B56" s="53" t="s">
        <v>303</v>
      </c>
      <c r="C56" s="54" t="s">
        <v>304</v>
      </c>
      <c r="D56" s="55" t="s">
        <v>11</v>
      </c>
      <c r="E56" s="56">
        <v>15.76</v>
      </c>
      <c r="F56" s="56">
        <f t="shared" si="11"/>
        <v>649.66</v>
      </c>
      <c r="G56" s="56">
        <f t="shared" si="12"/>
        <v>844.56</v>
      </c>
      <c r="H56" s="56">
        <f t="shared" si="13"/>
        <v>13310.27</v>
      </c>
      <c r="I56" s="57">
        <f>H56/$H$256</f>
        <v>2.7443855670103094E-2</v>
      </c>
      <c r="J56" s="1" t="s">
        <v>59</v>
      </c>
      <c r="K56" s="3">
        <v>649.66</v>
      </c>
    </row>
    <row r="57" spans="1:11" s="2" customFormat="1" ht="63" x14ac:dyDescent="0.2">
      <c r="A57" s="52" t="s">
        <v>351</v>
      </c>
      <c r="B57" s="53">
        <v>101963</v>
      </c>
      <c r="C57" s="54" t="s">
        <v>444</v>
      </c>
      <c r="D57" s="55" t="s">
        <v>445</v>
      </c>
      <c r="E57" s="56">
        <v>17.38</v>
      </c>
      <c r="F57" s="56">
        <f t="shared" si="11"/>
        <v>219.52</v>
      </c>
      <c r="G57" s="56">
        <f t="shared" si="12"/>
        <v>285.38</v>
      </c>
      <c r="H57" s="56">
        <f t="shared" si="13"/>
        <v>4959.8999999999996</v>
      </c>
      <c r="I57" s="57">
        <f>H57/$H$256</f>
        <v>1.0226597938144328E-2</v>
      </c>
      <c r="J57" s="1" t="s">
        <v>59</v>
      </c>
      <c r="K57" s="3">
        <v>219.52</v>
      </c>
    </row>
    <row r="58" spans="1:11" s="2" customFormat="1" x14ac:dyDescent="0.2">
      <c r="A58" s="78"/>
      <c r="B58" s="59"/>
      <c r="C58" s="46" t="s">
        <v>75</v>
      </c>
      <c r="D58" s="59"/>
      <c r="E58" s="60"/>
      <c r="F58" s="61"/>
      <c r="G58" s="62"/>
      <c r="H58" s="63">
        <f>ROUND(SUM(H54:H57),2)</f>
        <v>57636.46</v>
      </c>
      <c r="I58" s="76">
        <f>H58/$H$256</f>
        <v>0.1188380618556701</v>
      </c>
      <c r="J58" s="65"/>
      <c r="K58" s="66"/>
    </row>
    <row r="59" spans="1:11" s="79" customFormat="1" ht="9.9499999999999993" customHeight="1" x14ac:dyDescent="0.2">
      <c r="A59" s="67"/>
      <c r="B59" s="68"/>
      <c r="C59" s="68"/>
      <c r="D59" s="68"/>
      <c r="E59" s="69"/>
      <c r="F59" s="69"/>
      <c r="G59" s="69"/>
      <c r="H59" s="69"/>
      <c r="I59" s="70"/>
      <c r="J59" s="71"/>
      <c r="K59" s="51"/>
    </row>
    <row r="60" spans="1:11" s="79" customFormat="1" x14ac:dyDescent="0.2">
      <c r="A60" s="43">
        <v>4</v>
      </c>
      <c r="B60" s="72"/>
      <c r="C60" s="46" t="s">
        <v>511</v>
      </c>
      <c r="D60" s="47"/>
      <c r="E60" s="48"/>
      <c r="F60" s="49"/>
      <c r="G60" s="48"/>
      <c r="H60" s="49"/>
      <c r="I60" s="50"/>
      <c r="J60" s="73"/>
      <c r="K60" s="74"/>
    </row>
    <row r="61" spans="1:11" s="79" customFormat="1" ht="31.5" x14ac:dyDescent="0.2">
      <c r="A61" s="52" t="s">
        <v>352</v>
      </c>
      <c r="B61" s="53">
        <v>98522</v>
      </c>
      <c r="C61" s="54" t="s">
        <v>510</v>
      </c>
      <c r="D61" s="55" t="s">
        <v>14</v>
      </c>
      <c r="E61" s="56">
        <v>61.42</v>
      </c>
      <c r="F61" s="56">
        <f t="shared" ref="F61" si="14">ROUND(K61*(1-$K$9),2)</f>
        <v>169.58</v>
      </c>
      <c r="G61" s="56">
        <f t="shared" ref="G61" si="15">ROUND(F61*(IF(J61="O",(1+$E$9),IF(J61="E",(1+$E$18),(1+$E$26)))),2)</f>
        <v>220.45</v>
      </c>
      <c r="H61" s="56">
        <f t="shared" ref="H61" si="16">ROUND((E61*G61),2)</f>
        <v>13540.04</v>
      </c>
      <c r="I61" s="57">
        <f>H61/$H$256</f>
        <v>2.7917608247422683E-2</v>
      </c>
      <c r="J61" s="1" t="s">
        <v>59</v>
      </c>
      <c r="K61" s="3">
        <v>169.58</v>
      </c>
    </row>
    <row r="62" spans="1:11" s="2" customFormat="1" ht="31.5" x14ac:dyDescent="0.2">
      <c r="A62" s="52" t="s">
        <v>353</v>
      </c>
      <c r="B62" s="53" t="s">
        <v>513</v>
      </c>
      <c r="C62" s="54" t="s">
        <v>512</v>
      </c>
      <c r="D62" s="55" t="s">
        <v>445</v>
      </c>
      <c r="E62" s="56">
        <v>42.46</v>
      </c>
      <c r="F62" s="56">
        <f t="shared" ref="F62" si="17">ROUND(K62*(1-$K$9),2)</f>
        <v>27.1</v>
      </c>
      <c r="G62" s="56">
        <f t="shared" ref="G62" si="18">ROUND(F62*(IF(J62="O",(1+$E$9),IF(J62="E",(1+$E$18),(1+$E$26)))),2)</f>
        <v>35.229999999999997</v>
      </c>
      <c r="H62" s="56">
        <f t="shared" ref="H62" si="19">ROUND((E62*G62),2)</f>
        <v>1495.87</v>
      </c>
      <c r="I62" s="57">
        <f>H62/$H$256</f>
        <v>3.0842680412371134E-3</v>
      </c>
      <c r="J62" s="1" t="s">
        <v>59</v>
      </c>
      <c r="K62" s="3">
        <v>27.1</v>
      </c>
    </row>
    <row r="63" spans="1:11" s="2" customFormat="1" x14ac:dyDescent="0.2">
      <c r="A63" s="58"/>
      <c r="B63" s="59"/>
      <c r="C63" s="46" t="s">
        <v>76</v>
      </c>
      <c r="D63" s="59"/>
      <c r="E63" s="60"/>
      <c r="F63" s="61"/>
      <c r="G63" s="62"/>
      <c r="H63" s="63">
        <f>ROUND(SUM(H61:H62),2)</f>
        <v>15035.91</v>
      </c>
      <c r="I63" s="76">
        <f>H63/$H$256</f>
        <v>3.1001876288659795E-2</v>
      </c>
      <c r="J63" s="65"/>
      <c r="K63" s="66"/>
    </row>
    <row r="64" spans="1:11" s="2" customFormat="1" ht="9.9499999999999993" customHeight="1" x14ac:dyDescent="0.2">
      <c r="A64" s="67"/>
      <c r="B64" s="68"/>
      <c r="C64" s="68"/>
      <c r="D64" s="68"/>
      <c r="E64" s="69"/>
      <c r="F64" s="69"/>
      <c r="G64" s="69"/>
      <c r="H64" s="69"/>
      <c r="I64" s="70"/>
      <c r="J64" s="71"/>
      <c r="K64" s="51"/>
    </row>
    <row r="65" spans="1:24" s="2" customFormat="1" x14ac:dyDescent="0.2">
      <c r="A65" s="43">
        <v>5</v>
      </c>
      <c r="B65" s="72"/>
      <c r="C65" s="46" t="s">
        <v>16</v>
      </c>
      <c r="D65" s="47"/>
      <c r="E65" s="48"/>
      <c r="F65" s="49"/>
      <c r="G65" s="48"/>
      <c r="H65" s="49"/>
      <c r="I65" s="50"/>
      <c r="J65" s="73"/>
      <c r="K65" s="74"/>
    </row>
    <row r="66" spans="1:24" s="2" customFormat="1" ht="47.25" x14ac:dyDescent="0.2">
      <c r="A66" s="52" t="s">
        <v>354</v>
      </c>
      <c r="B66" s="53" t="s">
        <v>99</v>
      </c>
      <c r="C66" s="54" t="s">
        <v>100</v>
      </c>
      <c r="D66" s="55" t="s">
        <v>0</v>
      </c>
      <c r="E66" s="56">
        <v>375.2</v>
      </c>
      <c r="F66" s="56">
        <f t="shared" ref="F66:F70" si="20">ROUND(K66*(1-$K$9),2)</f>
        <v>61.6</v>
      </c>
      <c r="G66" s="56">
        <f t="shared" ref="G66:G70" si="21">ROUND(F66*(IF(J66="O",(1+$E$9),IF(J66="E",(1+$E$18),(1+$E$26)))),2)</f>
        <v>80.08</v>
      </c>
      <c r="H66" s="56">
        <f t="shared" ref="H66:H70" si="22">ROUND((E66*G66),2)</f>
        <v>30046.02</v>
      </c>
      <c r="I66" s="57">
        <f t="shared" ref="I66:I75" si="23">H66/$H$256</f>
        <v>6.1950556701030932E-2</v>
      </c>
      <c r="J66" s="1" t="s">
        <v>59</v>
      </c>
      <c r="K66" s="3">
        <v>61.6</v>
      </c>
    </row>
    <row r="67" spans="1:24" s="2" customFormat="1" ht="63" x14ac:dyDescent="0.2">
      <c r="A67" s="52" t="s">
        <v>355</v>
      </c>
      <c r="B67" s="53" t="s">
        <v>101</v>
      </c>
      <c r="C67" s="54" t="s">
        <v>102</v>
      </c>
      <c r="D67" s="55" t="s">
        <v>11</v>
      </c>
      <c r="E67" s="56">
        <v>0.8</v>
      </c>
      <c r="F67" s="56">
        <f t="shared" si="20"/>
        <v>2829.11</v>
      </c>
      <c r="G67" s="56">
        <f t="shared" si="21"/>
        <v>3677.84</v>
      </c>
      <c r="H67" s="56">
        <f t="shared" si="22"/>
        <v>2942.27</v>
      </c>
      <c r="I67" s="57">
        <f t="shared" si="23"/>
        <v>6.0665360824742271E-3</v>
      </c>
      <c r="J67" s="1" t="s">
        <v>59</v>
      </c>
      <c r="K67" s="3">
        <v>2829.11</v>
      </c>
    </row>
    <row r="68" spans="1:24" s="2" customFormat="1" ht="63" x14ac:dyDescent="0.2">
      <c r="A68" s="52" t="s">
        <v>356</v>
      </c>
      <c r="B68" s="53" t="s">
        <v>103</v>
      </c>
      <c r="C68" s="54" t="s">
        <v>104</v>
      </c>
      <c r="D68" s="55" t="s">
        <v>11</v>
      </c>
      <c r="E68" s="56">
        <v>0.8</v>
      </c>
      <c r="F68" s="56">
        <f t="shared" si="20"/>
        <v>2829.11</v>
      </c>
      <c r="G68" s="56">
        <f t="shared" si="21"/>
        <v>3677.84</v>
      </c>
      <c r="H68" s="56">
        <f t="shared" si="22"/>
        <v>2942.27</v>
      </c>
      <c r="I68" s="57">
        <f t="shared" si="23"/>
        <v>6.0665360824742271E-3</v>
      </c>
      <c r="J68" s="1" t="s">
        <v>59</v>
      </c>
      <c r="K68" s="3">
        <v>2829.11</v>
      </c>
    </row>
    <row r="69" spans="1:24" s="2" customFormat="1" ht="63" x14ac:dyDescent="0.2">
      <c r="A69" s="52" t="s">
        <v>357</v>
      </c>
      <c r="B69" s="53" t="s">
        <v>105</v>
      </c>
      <c r="C69" s="54" t="s">
        <v>106</v>
      </c>
      <c r="D69" s="55" t="s">
        <v>11</v>
      </c>
      <c r="E69" s="56">
        <v>0.8</v>
      </c>
      <c r="F69" s="56">
        <f t="shared" si="20"/>
        <v>2606.41</v>
      </c>
      <c r="G69" s="56">
        <f t="shared" si="21"/>
        <v>3388.33</v>
      </c>
      <c r="H69" s="56">
        <f t="shared" si="22"/>
        <v>2710.66</v>
      </c>
      <c r="I69" s="57">
        <f t="shared" si="23"/>
        <v>5.5889896907216491E-3</v>
      </c>
      <c r="J69" s="1" t="s">
        <v>59</v>
      </c>
      <c r="K69" s="3">
        <v>2606.41</v>
      </c>
    </row>
    <row r="70" spans="1:24" s="2" customFormat="1" ht="31.5" x14ac:dyDescent="0.2">
      <c r="A70" s="52" t="s">
        <v>358</v>
      </c>
      <c r="B70" s="53" t="s">
        <v>107</v>
      </c>
      <c r="C70" s="54" t="s">
        <v>19</v>
      </c>
      <c r="D70" s="55" t="s">
        <v>0</v>
      </c>
      <c r="E70" s="56">
        <v>0.8</v>
      </c>
      <c r="F70" s="56">
        <f t="shared" si="20"/>
        <v>583.6</v>
      </c>
      <c r="G70" s="56">
        <f t="shared" si="21"/>
        <v>758.68</v>
      </c>
      <c r="H70" s="56">
        <f t="shared" si="22"/>
        <v>606.94000000000005</v>
      </c>
      <c r="I70" s="57">
        <f t="shared" si="23"/>
        <v>1.2514226804123713E-3</v>
      </c>
      <c r="J70" s="1" t="s">
        <v>59</v>
      </c>
      <c r="K70" s="3">
        <v>583.6</v>
      </c>
    </row>
    <row r="71" spans="1:24" s="2" customFormat="1" ht="63" x14ac:dyDescent="0.2">
      <c r="A71" s="52" t="s">
        <v>359</v>
      </c>
      <c r="B71" s="53" t="s">
        <v>305</v>
      </c>
      <c r="C71" s="54" t="s">
        <v>306</v>
      </c>
      <c r="D71" s="55" t="s">
        <v>14</v>
      </c>
      <c r="E71" s="56">
        <v>101.99</v>
      </c>
      <c r="F71" s="56">
        <f t="shared" ref="F71:F74" si="24">ROUND(K71*(1-$K$9),2)</f>
        <v>2.12</v>
      </c>
      <c r="G71" s="56">
        <f t="shared" ref="G71:G74" si="25">ROUND(F71*(IF(J71="O",(1+$E$9),IF(J71="E",(1+$E$18),(1+$E$26)))),2)</f>
        <v>2.76</v>
      </c>
      <c r="H71" s="56">
        <f t="shared" ref="H71:H74" si="26">ROUND((E71*G71),2)</f>
        <v>281.49</v>
      </c>
      <c r="I71" s="57">
        <f t="shared" si="23"/>
        <v>5.8039175257731956E-4</v>
      </c>
      <c r="J71" s="1" t="s">
        <v>59</v>
      </c>
      <c r="K71" s="3">
        <v>2.12</v>
      </c>
    </row>
    <row r="72" spans="1:24" s="2" customFormat="1" ht="63" x14ac:dyDescent="0.2">
      <c r="A72" s="52" t="s">
        <v>434</v>
      </c>
      <c r="B72" s="53" t="s">
        <v>307</v>
      </c>
      <c r="C72" s="54" t="s">
        <v>308</v>
      </c>
      <c r="D72" s="55" t="s">
        <v>14</v>
      </c>
      <c r="E72" s="56">
        <v>22.23</v>
      </c>
      <c r="F72" s="56">
        <f t="shared" si="24"/>
        <v>2.75</v>
      </c>
      <c r="G72" s="56">
        <f t="shared" si="25"/>
        <v>3.58</v>
      </c>
      <c r="H72" s="56">
        <f t="shared" si="26"/>
        <v>79.58</v>
      </c>
      <c r="I72" s="57">
        <f t="shared" si="23"/>
        <v>1.6408247422680411E-4</v>
      </c>
      <c r="J72" s="1" t="s">
        <v>59</v>
      </c>
      <c r="K72" s="3">
        <v>2.75</v>
      </c>
    </row>
    <row r="73" spans="1:24" s="2" customFormat="1" ht="47.25" x14ac:dyDescent="0.2">
      <c r="A73" s="52" t="s">
        <v>435</v>
      </c>
      <c r="B73" s="53" t="s">
        <v>309</v>
      </c>
      <c r="C73" s="54" t="s">
        <v>310</v>
      </c>
      <c r="D73" s="55" t="s">
        <v>14</v>
      </c>
      <c r="E73" s="56">
        <f>E71</f>
        <v>101.99</v>
      </c>
      <c r="F73" s="56">
        <f t="shared" si="24"/>
        <v>2.86</v>
      </c>
      <c r="G73" s="56">
        <f t="shared" si="25"/>
        <v>3.72</v>
      </c>
      <c r="H73" s="56">
        <f t="shared" si="26"/>
        <v>379.4</v>
      </c>
      <c r="I73" s="57">
        <f t="shared" si="23"/>
        <v>7.8226804123711336E-4</v>
      </c>
      <c r="J73" s="1" t="s">
        <v>59</v>
      </c>
      <c r="K73" s="3">
        <v>2.86</v>
      </c>
    </row>
    <row r="74" spans="1:24" s="2" customFormat="1" ht="47.25" x14ac:dyDescent="0.2">
      <c r="A74" s="52" t="s">
        <v>436</v>
      </c>
      <c r="B74" s="53" t="s">
        <v>311</v>
      </c>
      <c r="C74" s="54" t="s">
        <v>312</v>
      </c>
      <c r="D74" s="55" t="s">
        <v>14</v>
      </c>
      <c r="E74" s="56">
        <f>E72</f>
        <v>22.23</v>
      </c>
      <c r="F74" s="56">
        <f t="shared" si="24"/>
        <v>4.46</v>
      </c>
      <c r="G74" s="56">
        <f t="shared" si="25"/>
        <v>5.8</v>
      </c>
      <c r="H74" s="56">
        <f t="shared" si="26"/>
        <v>128.93</v>
      </c>
      <c r="I74" s="57">
        <f t="shared" si="23"/>
        <v>2.6583505154639174E-4</v>
      </c>
      <c r="J74" s="1" t="s">
        <v>59</v>
      </c>
      <c r="K74" s="3">
        <v>4.46</v>
      </c>
    </row>
    <row r="75" spans="1:24" s="2" customFormat="1" x14ac:dyDescent="0.2">
      <c r="A75" s="58"/>
      <c r="B75" s="59"/>
      <c r="C75" s="46" t="s">
        <v>69</v>
      </c>
      <c r="D75" s="59"/>
      <c r="E75" s="60"/>
      <c r="F75" s="61"/>
      <c r="G75" s="62"/>
      <c r="H75" s="63">
        <f>ROUND(SUM(H66:H74),2)</f>
        <v>40117.56</v>
      </c>
      <c r="I75" s="76">
        <f t="shared" si="23"/>
        <v>8.2716618556701024E-2</v>
      </c>
      <c r="J75" s="65"/>
      <c r="K75" s="66"/>
    </row>
    <row r="76" spans="1:24" s="2" customFormat="1" ht="9.9499999999999993" customHeight="1" x14ac:dyDescent="0.2">
      <c r="A76" s="67"/>
      <c r="B76" s="68"/>
      <c r="C76" s="68"/>
      <c r="D76" s="68"/>
      <c r="E76" s="69"/>
      <c r="F76" s="69"/>
      <c r="G76" s="69"/>
      <c r="H76" s="69"/>
      <c r="I76" s="70"/>
      <c r="J76" s="65"/>
      <c r="K76" s="66"/>
    </row>
    <row r="77" spans="1:24" s="221" customFormat="1" x14ac:dyDescent="0.2">
      <c r="A77" s="43">
        <v>6</v>
      </c>
      <c r="B77" s="72"/>
      <c r="C77" s="46" t="s">
        <v>17</v>
      </c>
      <c r="D77" s="47"/>
      <c r="E77" s="48"/>
      <c r="F77" s="49"/>
      <c r="G77" s="48"/>
      <c r="H77" s="49"/>
      <c r="I77" s="50"/>
      <c r="J77" s="71"/>
      <c r="K77" s="148"/>
      <c r="L77" s="2"/>
      <c r="M77" s="2"/>
      <c r="N77" s="2"/>
      <c r="O77" s="2"/>
      <c r="P77" s="2"/>
      <c r="Q77" s="2"/>
      <c r="R77" s="2"/>
      <c r="S77" s="2"/>
      <c r="T77" s="2"/>
      <c r="U77" s="2"/>
      <c r="V77" s="2"/>
      <c r="W77" s="2"/>
      <c r="X77" s="2"/>
    </row>
    <row r="78" spans="1:24" s="221" customFormat="1" x14ac:dyDescent="0.2">
      <c r="A78" s="43" t="s">
        <v>374</v>
      </c>
      <c r="B78" s="45"/>
      <c r="C78" s="46" t="s">
        <v>62</v>
      </c>
      <c r="D78" s="47"/>
      <c r="E78" s="48"/>
      <c r="F78" s="49"/>
      <c r="G78" s="48"/>
      <c r="H78" s="49"/>
      <c r="I78" s="50"/>
      <c r="J78" s="73"/>
      <c r="K78" s="74"/>
      <c r="L78" s="2"/>
      <c r="M78" s="2"/>
      <c r="N78" s="2"/>
      <c r="O78" s="2"/>
      <c r="P78" s="2"/>
      <c r="Q78" s="2"/>
      <c r="R78" s="2"/>
      <c r="S78" s="2"/>
      <c r="T78" s="2"/>
      <c r="U78" s="2"/>
      <c r="V78" s="2"/>
      <c r="W78" s="2"/>
      <c r="X78" s="2"/>
    </row>
    <row r="79" spans="1:24" s="221" customFormat="1" ht="47.25" x14ac:dyDescent="0.2">
      <c r="A79" s="52" t="s">
        <v>446</v>
      </c>
      <c r="B79" s="53" t="s">
        <v>249</v>
      </c>
      <c r="C79" s="54" t="s">
        <v>250</v>
      </c>
      <c r="D79" s="55" t="s">
        <v>0</v>
      </c>
      <c r="E79" s="56">
        <v>798.95</v>
      </c>
      <c r="F79" s="56">
        <f t="shared" ref="F79" si="27">ROUND(K79*(1-$K$9),2)</f>
        <v>7.5</v>
      </c>
      <c r="G79" s="56">
        <f t="shared" ref="G79:G82" si="28">ROUND(F79*(IF(J79="O",(1+$E$9),IF(J79="E",(1+$E$18),(1+$E$26)))),2)</f>
        <v>9.75</v>
      </c>
      <c r="H79" s="56">
        <f t="shared" ref="H79" si="29">ROUND((E79*G79),2)</f>
        <v>7789.76</v>
      </c>
      <c r="I79" s="57">
        <f>H79/$H$256</f>
        <v>1.6061360824742268E-2</v>
      </c>
      <c r="J79" s="1" t="s">
        <v>59</v>
      </c>
      <c r="K79" s="3">
        <v>7.5</v>
      </c>
      <c r="L79" s="2"/>
      <c r="M79" s="2"/>
      <c r="N79" s="2"/>
      <c r="O79" s="2"/>
      <c r="P79" s="2"/>
      <c r="Q79" s="2"/>
      <c r="R79" s="2"/>
      <c r="S79" s="2"/>
      <c r="T79" s="2"/>
      <c r="U79" s="2"/>
      <c r="V79" s="2"/>
      <c r="W79" s="2"/>
      <c r="X79" s="2"/>
    </row>
    <row r="80" spans="1:24" s="221" customFormat="1" ht="31.5" x14ac:dyDescent="0.2">
      <c r="A80" s="52" t="s">
        <v>447</v>
      </c>
      <c r="B80" s="53" t="s">
        <v>251</v>
      </c>
      <c r="C80" s="54" t="s">
        <v>252</v>
      </c>
      <c r="D80" s="55" t="s">
        <v>0</v>
      </c>
      <c r="E80" s="56">
        <v>78.599999999999994</v>
      </c>
      <c r="F80" s="56">
        <f t="shared" ref="F80:F81" si="30">ROUND(K80*(1-$K$9),2)</f>
        <v>26.8</v>
      </c>
      <c r="G80" s="56">
        <f t="shared" si="28"/>
        <v>34.840000000000003</v>
      </c>
      <c r="H80" s="56">
        <f t="shared" ref="H80:H81" si="31">ROUND((E80*G80),2)</f>
        <v>2738.42</v>
      </c>
      <c r="I80" s="57">
        <f>H80/$H$256</f>
        <v>5.6462268041237119E-3</v>
      </c>
      <c r="J80" s="1" t="s">
        <v>59</v>
      </c>
      <c r="K80" s="3">
        <v>26.8</v>
      </c>
      <c r="L80" s="2"/>
      <c r="M80" s="2"/>
      <c r="N80" s="2"/>
      <c r="O80" s="2"/>
      <c r="P80" s="2"/>
      <c r="Q80" s="2"/>
      <c r="R80" s="2"/>
      <c r="S80" s="2"/>
      <c r="T80" s="2"/>
      <c r="U80" s="2"/>
      <c r="V80" s="2"/>
      <c r="W80" s="2"/>
      <c r="X80" s="2"/>
    </row>
    <row r="81" spans="1:24" s="221" customFormat="1" ht="47.25" x14ac:dyDescent="0.2">
      <c r="A81" s="52" t="s">
        <v>448</v>
      </c>
      <c r="B81" s="53" t="s">
        <v>253</v>
      </c>
      <c r="C81" s="54" t="s">
        <v>254</v>
      </c>
      <c r="D81" s="55" t="s">
        <v>0</v>
      </c>
      <c r="E81" s="56">
        <v>782.56</v>
      </c>
      <c r="F81" s="56">
        <f t="shared" si="30"/>
        <v>28.52</v>
      </c>
      <c r="G81" s="56">
        <f t="shared" si="28"/>
        <v>37.08</v>
      </c>
      <c r="H81" s="56">
        <f t="shared" si="31"/>
        <v>29017.32</v>
      </c>
      <c r="I81" s="57">
        <f>H81/$H$256</f>
        <v>5.9829525773195877E-2</v>
      </c>
      <c r="J81" s="1" t="s">
        <v>59</v>
      </c>
      <c r="K81" s="3">
        <v>28.52</v>
      </c>
      <c r="L81" s="2"/>
      <c r="M81" s="2"/>
      <c r="N81" s="2"/>
      <c r="O81" s="2"/>
      <c r="P81" s="2"/>
      <c r="Q81" s="2"/>
      <c r="R81" s="2"/>
      <c r="S81" s="2"/>
      <c r="T81" s="2"/>
      <c r="U81" s="2"/>
      <c r="V81" s="2"/>
      <c r="W81" s="2"/>
      <c r="X81" s="2"/>
    </row>
    <row r="82" spans="1:24" s="221" customFormat="1" ht="47.25" x14ac:dyDescent="0.2">
      <c r="A82" s="52" t="s">
        <v>449</v>
      </c>
      <c r="B82" s="53">
        <v>87251</v>
      </c>
      <c r="C82" s="54" t="s">
        <v>450</v>
      </c>
      <c r="D82" s="55" t="s">
        <v>0</v>
      </c>
      <c r="E82" s="56">
        <v>78.599999999999994</v>
      </c>
      <c r="F82" s="56">
        <f t="shared" ref="F82" si="32">ROUND(K82*(1-$K$9),2)</f>
        <v>47.83</v>
      </c>
      <c r="G82" s="56">
        <f t="shared" si="28"/>
        <v>62.18</v>
      </c>
      <c r="H82" s="56">
        <f t="shared" ref="H82" si="33">ROUND((E82*G82),2)</f>
        <v>4887.3500000000004</v>
      </c>
      <c r="I82" s="57">
        <f>H82/$H$256</f>
        <v>1.0077010309278352E-2</v>
      </c>
      <c r="J82" s="1" t="s">
        <v>59</v>
      </c>
      <c r="K82" s="3">
        <v>47.83</v>
      </c>
      <c r="L82" s="2"/>
      <c r="M82" s="2"/>
      <c r="N82" s="2"/>
      <c r="O82" s="2"/>
      <c r="P82" s="2"/>
      <c r="Q82" s="2"/>
      <c r="R82" s="2"/>
      <c r="S82" s="2"/>
      <c r="T82" s="2"/>
      <c r="U82" s="2"/>
      <c r="V82" s="2"/>
      <c r="W82" s="2"/>
      <c r="X82" s="2"/>
    </row>
    <row r="83" spans="1:24" s="221" customFormat="1" x14ac:dyDescent="0.2">
      <c r="A83" s="58"/>
      <c r="B83" s="59"/>
      <c r="C83" s="46" t="s">
        <v>9</v>
      </c>
      <c r="D83" s="59"/>
      <c r="E83" s="60"/>
      <c r="F83" s="49"/>
      <c r="G83" s="50"/>
      <c r="H83" s="63">
        <f>ROUND(SUM(H79:H82),2)</f>
        <v>44432.85</v>
      </c>
      <c r="I83" s="76">
        <f>H83/$H$256</f>
        <v>9.1614123711340201E-2</v>
      </c>
      <c r="J83" s="146"/>
      <c r="K83" s="147"/>
      <c r="L83" s="2"/>
      <c r="M83" s="2"/>
      <c r="N83" s="2"/>
      <c r="O83" s="2"/>
      <c r="P83" s="2"/>
      <c r="Q83" s="2"/>
      <c r="R83" s="2"/>
      <c r="S83" s="2"/>
      <c r="T83" s="2"/>
      <c r="U83" s="2"/>
      <c r="V83" s="2"/>
      <c r="W83" s="2"/>
      <c r="X83" s="2"/>
    </row>
    <row r="84" spans="1:24" s="2" customFormat="1" ht="9.9499999999999993" customHeight="1" x14ac:dyDescent="0.2">
      <c r="A84" s="80"/>
      <c r="B84" s="81"/>
      <c r="C84" s="82"/>
      <c r="D84" s="83"/>
      <c r="E84" s="74"/>
      <c r="F84" s="84"/>
      <c r="G84" s="85"/>
      <c r="H84" s="84"/>
      <c r="I84" s="86"/>
      <c r="J84" s="71"/>
      <c r="K84" s="148"/>
    </row>
    <row r="85" spans="1:24" s="2" customFormat="1" x14ac:dyDescent="0.2">
      <c r="A85" s="58"/>
      <c r="B85" s="59"/>
      <c r="C85" s="46" t="s">
        <v>77</v>
      </c>
      <c r="D85" s="59"/>
      <c r="E85" s="60"/>
      <c r="F85" s="61"/>
      <c r="G85" s="62"/>
      <c r="H85" s="63">
        <f>ROUND(H83,2)</f>
        <v>44432.85</v>
      </c>
      <c r="I85" s="76">
        <f>H85/$H$256</f>
        <v>9.1614123711340201E-2</v>
      </c>
      <c r="J85" s="146"/>
      <c r="K85" s="147"/>
    </row>
    <row r="86" spans="1:24" s="2" customFormat="1" ht="9.9499999999999993" customHeight="1" x14ac:dyDescent="0.2">
      <c r="A86" s="67"/>
      <c r="B86" s="68"/>
      <c r="C86" s="68"/>
      <c r="D86" s="68"/>
      <c r="E86" s="69"/>
      <c r="F86" s="69"/>
      <c r="G86" s="69"/>
      <c r="H86" s="69"/>
      <c r="I86" s="70"/>
      <c r="J86" s="71"/>
      <c r="K86" s="148"/>
    </row>
    <row r="87" spans="1:24" s="2" customFormat="1" x14ac:dyDescent="0.2">
      <c r="A87" s="43">
        <v>7</v>
      </c>
      <c r="B87" s="72"/>
      <c r="C87" s="46" t="s">
        <v>321</v>
      </c>
      <c r="D87" s="47"/>
      <c r="E87" s="48"/>
      <c r="F87" s="49"/>
      <c r="G87" s="48"/>
      <c r="H87" s="49"/>
      <c r="I87" s="50"/>
      <c r="J87" s="73"/>
      <c r="K87" s="74"/>
    </row>
    <row r="88" spans="1:24" s="2" customFormat="1" ht="31.5" x14ac:dyDescent="0.2">
      <c r="A88" s="52" t="s">
        <v>377</v>
      </c>
      <c r="B88" s="53" t="s">
        <v>118</v>
      </c>
      <c r="C88" s="54" t="s">
        <v>119</v>
      </c>
      <c r="D88" s="55" t="s">
        <v>0</v>
      </c>
      <c r="E88" s="56">
        <v>201.64</v>
      </c>
      <c r="F88" s="56">
        <f t="shared" ref="F88:F89" si="34">ROUND(K88*(1-$K$9),2)</f>
        <v>2.5099999999999998</v>
      </c>
      <c r="G88" s="56">
        <f t="shared" ref="G88:G91" si="35">ROUND(F88*(IF(J88="O",(1+$E$9),IF(J88="E",(1+$E$18),(1+$E$26)))),2)</f>
        <v>3.26</v>
      </c>
      <c r="H88" s="56">
        <f t="shared" ref="H88:H89" si="36">ROUND((E88*G88),2)</f>
        <v>657.35</v>
      </c>
      <c r="I88" s="57">
        <f t="shared" ref="I88:I96" si="37">H88/$H$256</f>
        <v>1.3553608247422681E-3</v>
      </c>
      <c r="J88" s="1" t="s">
        <v>59</v>
      </c>
      <c r="K88" s="3">
        <v>2.5099999999999998</v>
      </c>
    </row>
    <row r="89" spans="1:24" s="2" customFormat="1" ht="31.5" x14ac:dyDescent="0.2">
      <c r="A89" s="52" t="s">
        <v>378</v>
      </c>
      <c r="B89" s="53" t="s">
        <v>120</v>
      </c>
      <c r="C89" s="54" t="s">
        <v>121</v>
      </c>
      <c r="D89" s="55" t="s">
        <v>0</v>
      </c>
      <c r="E89" s="56">
        <f>E88</f>
        <v>201.64</v>
      </c>
      <c r="F89" s="56">
        <f t="shared" si="34"/>
        <v>48.84</v>
      </c>
      <c r="G89" s="56">
        <f t="shared" si="35"/>
        <v>63.49</v>
      </c>
      <c r="H89" s="56">
        <f t="shared" si="36"/>
        <v>12802.12</v>
      </c>
      <c r="I89" s="57">
        <f t="shared" si="37"/>
        <v>2.6396123711340209E-2</v>
      </c>
      <c r="J89" s="1" t="s">
        <v>59</v>
      </c>
      <c r="K89" s="3">
        <v>48.84</v>
      </c>
    </row>
    <row r="90" spans="1:24" s="2" customFormat="1" ht="78.75" x14ac:dyDescent="0.2">
      <c r="A90" s="52" t="s">
        <v>379</v>
      </c>
      <c r="B90" s="53" t="s">
        <v>122</v>
      </c>
      <c r="C90" s="54" t="s">
        <v>123</v>
      </c>
      <c r="D90" s="55" t="s">
        <v>0</v>
      </c>
      <c r="E90" s="56">
        <v>43.46</v>
      </c>
      <c r="F90" s="56">
        <f t="shared" ref="F90:F93" si="38">ROUND(K90*(1-$K$9),2)</f>
        <v>120.89</v>
      </c>
      <c r="G90" s="56">
        <f t="shared" si="35"/>
        <v>157.16</v>
      </c>
      <c r="H90" s="56">
        <f t="shared" ref="H90:H93" si="39">ROUND((E90*G90),2)</f>
        <v>6830.17</v>
      </c>
      <c r="I90" s="57">
        <f t="shared" si="37"/>
        <v>1.4082824742268041E-2</v>
      </c>
      <c r="J90" s="1" t="s">
        <v>59</v>
      </c>
      <c r="K90" s="3">
        <v>120.89</v>
      </c>
    </row>
    <row r="91" spans="1:24" s="2" customFormat="1" ht="47.25" x14ac:dyDescent="0.2">
      <c r="A91" s="52" t="s">
        <v>380</v>
      </c>
      <c r="B91" s="53" t="s">
        <v>124</v>
      </c>
      <c r="C91" s="54" t="s">
        <v>125</v>
      </c>
      <c r="D91" s="55" t="s">
        <v>0</v>
      </c>
      <c r="E91" s="56">
        <v>43.46</v>
      </c>
      <c r="F91" s="56">
        <f t="shared" si="38"/>
        <v>4.24</v>
      </c>
      <c r="G91" s="56">
        <f t="shared" si="35"/>
        <v>5.51</v>
      </c>
      <c r="H91" s="56">
        <f t="shared" si="39"/>
        <v>239.46</v>
      </c>
      <c r="I91" s="57">
        <f t="shared" si="37"/>
        <v>4.9373195876288665E-4</v>
      </c>
      <c r="J91" s="1" t="s">
        <v>59</v>
      </c>
      <c r="K91" s="3">
        <v>4.24</v>
      </c>
    </row>
    <row r="92" spans="1:24" s="2" customFormat="1" ht="31.5" x14ac:dyDescent="0.2">
      <c r="A92" s="52" t="s">
        <v>381</v>
      </c>
      <c r="B92" s="53" t="s">
        <v>126</v>
      </c>
      <c r="C92" s="54" t="s">
        <v>127</v>
      </c>
      <c r="D92" s="55" t="s">
        <v>0</v>
      </c>
      <c r="E92" s="56">
        <f>E89-E90</f>
        <v>158.17999999999998</v>
      </c>
      <c r="F92" s="56">
        <f t="shared" si="38"/>
        <v>24.68</v>
      </c>
      <c r="G92" s="56">
        <f t="shared" ref="G92:G95" si="40">ROUND(F92*(IF(J92="O",(1+$E$9),IF(J92="E",(1+$E$18),(1+$E$26)))),2)</f>
        <v>32.08</v>
      </c>
      <c r="H92" s="56">
        <f t="shared" si="39"/>
        <v>5074.41</v>
      </c>
      <c r="I92" s="57">
        <f t="shared" si="37"/>
        <v>1.0462701030927835E-2</v>
      </c>
      <c r="J92" s="1" t="s">
        <v>59</v>
      </c>
      <c r="K92" s="3">
        <v>24.68</v>
      </c>
    </row>
    <row r="93" spans="1:24" s="2" customFormat="1" ht="47.25" x14ac:dyDescent="0.2">
      <c r="A93" s="52" t="s">
        <v>382</v>
      </c>
      <c r="B93" s="53" t="s">
        <v>128</v>
      </c>
      <c r="C93" s="54" t="s">
        <v>129</v>
      </c>
      <c r="D93" s="55" t="s">
        <v>0</v>
      </c>
      <c r="E93" s="56">
        <f>E92</f>
        <v>158.17999999999998</v>
      </c>
      <c r="F93" s="56">
        <f t="shared" si="38"/>
        <v>78.430000000000007</v>
      </c>
      <c r="G93" s="56">
        <f t="shared" si="40"/>
        <v>101.96</v>
      </c>
      <c r="H93" s="56">
        <f t="shared" si="39"/>
        <v>16128.03</v>
      </c>
      <c r="I93" s="57">
        <f t="shared" si="37"/>
        <v>3.3253670103092783E-2</v>
      </c>
      <c r="J93" s="1" t="s">
        <v>59</v>
      </c>
      <c r="K93" s="3">
        <v>78.430000000000007</v>
      </c>
    </row>
    <row r="94" spans="1:24" s="2" customFormat="1" ht="78.75" x14ac:dyDescent="0.2">
      <c r="A94" s="52" t="s">
        <v>383</v>
      </c>
      <c r="B94" s="53" t="s">
        <v>539</v>
      </c>
      <c r="C94" s="54" t="s">
        <v>538</v>
      </c>
      <c r="D94" s="55" t="s">
        <v>0</v>
      </c>
      <c r="E94" s="56">
        <v>116.98</v>
      </c>
      <c r="F94" s="56">
        <f t="shared" ref="F94" si="41">ROUND(K94*(1-$K$9),2)</f>
        <v>44.43</v>
      </c>
      <c r="G94" s="56">
        <f t="shared" si="40"/>
        <v>57.76</v>
      </c>
      <c r="H94" s="56">
        <f t="shared" ref="H94" si="42">ROUND((E94*G94),2)</f>
        <v>6756.76</v>
      </c>
      <c r="I94" s="57">
        <f t="shared" si="37"/>
        <v>1.3931463917525774E-2</v>
      </c>
      <c r="J94" s="1" t="s">
        <v>59</v>
      </c>
      <c r="K94" s="3">
        <v>44.43</v>
      </c>
    </row>
    <row r="95" spans="1:24" s="2" customFormat="1" ht="31.5" x14ac:dyDescent="0.2">
      <c r="A95" s="52" t="s">
        <v>384</v>
      </c>
      <c r="B95" s="53" t="s">
        <v>130</v>
      </c>
      <c r="C95" s="54" t="s">
        <v>131</v>
      </c>
      <c r="D95" s="55" t="s">
        <v>14</v>
      </c>
      <c r="E95" s="56">
        <v>83.2</v>
      </c>
      <c r="F95" s="56">
        <f t="shared" ref="F95" si="43">ROUND(K95*(1-$K$9),2)</f>
        <v>34.51</v>
      </c>
      <c r="G95" s="56">
        <f t="shared" si="40"/>
        <v>44.86</v>
      </c>
      <c r="H95" s="56">
        <f t="shared" ref="H95" si="44">ROUND((E95*G95),2)</f>
        <v>3732.35</v>
      </c>
      <c r="I95" s="57">
        <f t="shared" si="37"/>
        <v>7.6955670103092781E-3</v>
      </c>
      <c r="J95" s="1" t="s">
        <v>59</v>
      </c>
      <c r="K95" s="3">
        <v>34.51</v>
      </c>
    </row>
    <row r="96" spans="1:24" s="2" customFormat="1" x14ac:dyDescent="0.2">
      <c r="A96" s="58"/>
      <c r="B96" s="59"/>
      <c r="C96" s="46" t="s">
        <v>68</v>
      </c>
      <c r="D96" s="59"/>
      <c r="E96" s="60"/>
      <c r="F96" s="61"/>
      <c r="G96" s="62"/>
      <c r="H96" s="63">
        <f>ROUND(SUM(H88:H95),2)</f>
        <v>52220.65</v>
      </c>
      <c r="I96" s="76">
        <f t="shared" si="37"/>
        <v>0.10767144329896908</v>
      </c>
      <c r="J96" s="65"/>
      <c r="K96" s="66"/>
    </row>
    <row r="97" spans="1:11" s="2" customFormat="1" ht="9.9499999999999993" customHeight="1" x14ac:dyDescent="0.2">
      <c r="A97" s="67"/>
      <c r="B97" s="68"/>
      <c r="C97" s="68"/>
      <c r="D97" s="68"/>
      <c r="E97" s="69"/>
      <c r="F97" s="69"/>
      <c r="G97" s="69"/>
      <c r="H97" s="69"/>
      <c r="I97" s="70"/>
      <c r="J97" s="71"/>
      <c r="K97" s="51"/>
    </row>
    <row r="98" spans="1:11" s="2" customFormat="1" x14ac:dyDescent="0.2">
      <c r="A98" s="43">
        <v>8</v>
      </c>
      <c r="B98" s="72"/>
      <c r="C98" s="46" t="s">
        <v>15</v>
      </c>
      <c r="D98" s="47"/>
      <c r="E98" s="48"/>
      <c r="F98" s="49"/>
      <c r="G98" s="48"/>
      <c r="H98" s="49"/>
      <c r="I98" s="50"/>
      <c r="J98" s="73"/>
      <c r="K98" s="74"/>
    </row>
    <row r="99" spans="1:11" s="2" customFormat="1" ht="78.75" x14ac:dyDescent="0.2">
      <c r="A99" s="52" t="s">
        <v>337</v>
      </c>
      <c r="B99" s="53" t="s">
        <v>116</v>
      </c>
      <c r="C99" s="54" t="s">
        <v>117</v>
      </c>
      <c r="D99" s="55" t="s">
        <v>12</v>
      </c>
      <c r="E99" s="56">
        <v>1395.6</v>
      </c>
      <c r="F99" s="56">
        <f t="shared" ref="F99:F102" si="45">ROUND(K99*(1-$K$9),2)</f>
        <v>20.65</v>
      </c>
      <c r="G99" s="56">
        <f t="shared" ref="G99:G102" si="46">ROUND(F99*(IF(J99="O",(1+$E$9),IF(J99="E",(1+$E$18),(1+$E$26)))),2)</f>
        <v>26.85</v>
      </c>
      <c r="H99" s="56">
        <f t="shared" ref="H99:H102" si="47">ROUND((E99*G99),2)</f>
        <v>37471.86</v>
      </c>
      <c r="I99" s="57">
        <f t="shared" ref="I99:I106" si="48">H99/$H$256</f>
        <v>7.7261567010309284E-2</v>
      </c>
      <c r="J99" s="1" t="s">
        <v>59</v>
      </c>
      <c r="K99" s="3">
        <v>20.65</v>
      </c>
    </row>
    <row r="100" spans="1:11" s="2" customFormat="1" ht="31.5" x14ac:dyDescent="0.2">
      <c r="A100" s="52" t="s">
        <v>385</v>
      </c>
      <c r="B100" s="53" t="s">
        <v>529</v>
      </c>
      <c r="C100" s="54" t="s">
        <v>528</v>
      </c>
      <c r="D100" s="55" t="s">
        <v>0</v>
      </c>
      <c r="E100" s="56">
        <f>189.28</f>
        <v>189.28</v>
      </c>
      <c r="F100" s="56">
        <f t="shared" si="45"/>
        <v>30.18</v>
      </c>
      <c r="G100" s="56">
        <f t="shared" si="46"/>
        <v>39.229999999999997</v>
      </c>
      <c r="H100" s="56">
        <f t="shared" si="47"/>
        <v>7425.45</v>
      </c>
      <c r="I100" s="57">
        <f t="shared" si="48"/>
        <v>1.5310206185567009E-2</v>
      </c>
      <c r="J100" s="1" t="s">
        <v>59</v>
      </c>
      <c r="K100" s="3">
        <v>30.18</v>
      </c>
    </row>
    <row r="101" spans="1:11" s="2" customFormat="1" ht="47.25" x14ac:dyDescent="0.2">
      <c r="A101" s="52" t="s">
        <v>386</v>
      </c>
      <c r="B101" s="53" t="s">
        <v>533</v>
      </c>
      <c r="C101" s="54" t="s">
        <v>532</v>
      </c>
      <c r="D101" s="55" t="s">
        <v>14</v>
      </c>
      <c r="E101" s="56">
        <v>30.4</v>
      </c>
      <c r="F101" s="56">
        <f t="shared" si="45"/>
        <v>63.65</v>
      </c>
      <c r="G101" s="56">
        <f t="shared" si="46"/>
        <v>82.75</v>
      </c>
      <c r="H101" s="56">
        <f t="shared" si="47"/>
        <v>2515.6</v>
      </c>
      <c r="I101" s="57">
        <f t="shared" si="48"/>
        <v>5.1868041237113404E-3</v>
      </c>
      <c r="J101" s="1" t="s">
        <v>59</v>
      </c>
      <c r="K101" s="3">
        <v>63.65</v>
      </c>
    </row>
    <row r="102" spans="1:11" s="2" customFormat="1" ht="47.25" x14ac:dyDescent="0.2">
      <c r="A102" s="52" t="s">
        <v>387</v>
      </c>
      <c r="B102" s="53" t="s">
        <v>535</v>
      </c>
      <c r="C102" s="54" t="s">
        <v>534</v>
      </c>
      <c r="D102" s="55" t="s">
        <v>14</v>
      </c>
      <c r="E102" s="56">
        <f>9+61</f>
        <v>70</v>
      </c>
      <c r="F102" s="56">
        <f t="shared" si="45"/>
        <v>23.11</v>
      </c>
      <c r="G102" s="56">
        <f t="shared" si="46"/>
        <v>30.04</v>
      </c>
      <c r="H102" s="56">
        <f t="shared" si="47"/>
        <v>2102.8000000000002</v>
      </c>
      <c r="I102" s="57">
        <f t="shared" si="48"/>
        <v>4.3356701030927841E-3</v>
      </c>
      <c r="J102" s="1" t="s">
        <v>59</v>
      </c>
      <c r="K102" s="3">
        <v>23.11</v>
      </c>
    </row>
    <row r="103" spans="1:11" s="2" customFormat="1" ht="47.25" x14ac:dyDescent="0.2">
      <c r="A103" s="52" t="s">
        <v>437</v>
      </c>
      <c r="B103" s="53" t="s">
        <v>536</v>
      </c>
      <c r="C103" s="54" t="s">
        <v>537</v>
      </c>
      <c r="D103" s="55" t="s">
        <v>14</v>
      </c>
      <c r="E103" s="56">
        <f>12.7+62</f>
        <v>74.7</v>
      </c>
      <c r="F103" s="56">
        <f t="shared" ref="F103" si="49">ROUND(K103*(1-$K$9),2)</f>
        <v>40.42</v>
      </c>
      <c r="G103" s="56">
        <f t="shared" ref="G103:G105" si="50">ROUND(F103*(IF(J103="O",(1+$E$9),IF(J103="E",(1+$E$18),(1+$E$26)))),2)</f>
        <v>52.55</v>
      </c>
      <c r="H103" s="56">
        <f t="shared" ref="H103" si="51">ROUND((E103*G103),2)</f>
        <v>3925.49</v>
      </c>
      <c r="I103" s="57">
        <f t="shared" si="48"/>
        <v>8.09379381443299E-3</v>
      </c>
      <c r="J103" s="1" t="s">
        <v>59</v>
      </c>
      <c r="K103" s="3">
        <v>40.42</v>
      </c>
    </row>
    <row r="104" spans="1:11" s="2" customFormat="1" x14ac:dyDescent="0.2">
      <c r="A104" s="52" t="s">
        <v>438</v>
      </c>
      <c r="B104" s="53" t="s">
        <v>132</v>
      </c>
      <c r="C104" s="54" t="s">
        <v>133</v>
      </c>
      <c r="D104" s="55" t="s">
        <v>0</v>
      </c>
      <c r="E104" s="56">
        <f>177.53-43.51</f>
        <v>134.02000000000001</v>
      </c>
      <c r="F104" s="56">
        <f t="shared" ref="F104:F105" si="52">ROUND(K104*(1-$K$9),2)</f>
        <v>43.29</v>
      </c>
      <c r="G104" s="56">
        <f t="shared" si="50"/>
        <v>56.28</v>
      </c>
      <c r="H104" s="56">
        <f t="shared" ref="H104:H105" si="53">ROUND((E104*G104),2)</f>
        <v>7542.65</v>
      </c>
      <c r="I104" s="57">
        <f t="shared" si="48"/>
        <v>1.5551855670103093E-2</v>
      </c>
      <c r="J104" s="1" t="s">
        <v>59</v>
      </c>
      <c r="K104" s="3">
        <v>43.29</v>
      </c>
    </row>
    <row r="105" spans="1:11" s="2" customFormat="1" x14ac:dyDescent="0.2">
      <c r="A105" s="52" t="s">
        <v>439</v>
      </c>
      <c r="B105" s="53" t="s">
        <v>134</v>
      </c>
      <c r="C105" s="54" t="s">
        <v>135</v>
      </c>
      <c r="D105" s="55" t="s">
        <v>14</v>
      </c>
      <c r="E105" s="56">
        <v>134.69999999999999</v>
      </c>
      <c r="F105" s="56">
        <f t="shared" si="52"/>
        <v>8.81</v>
      </c>
      <c r="G105" s="56">
        <f t="shared" si="50"/>
        <v>11.45</v>
      </c>
      <c r="H105" s="56">
        <f t="shared" si="53"/>
        <v>1542.32</v>
      </c>
      <c r="I105" s="57">
        <f t="shared" si="48"/>
        <v>3.180041237113402E-3</v>
      </c>
      <c r="J105" s="1" t="s">
        <v>59</v>
      </c>
      <c r="K105" s="3">
        <v>8.81</v>
      </c>
    </row>
    <row r="106" spans="1:11" s="2" customFormat="1" x14ac:dyDescent="0.2">
      <c r="A106" s="58"/>
      <c r="B106" s="59"/>
      <c r="C106" s="46" t="s">
        <v>73</v>
      </c>
      <c r="D106" s="59"/>
      <c r="E106" s="60"/>
      <c r="F106" s="61"/>
      <c r="G106" s="62"/>
      <c r="H106" s="63">
        <f>ROUND(SUM(H99:H105),2)</f>
        <v>62526.17</v>
      </c>
      <c r="I106" s="76">
        <f t="shared" si="48"/>
        <v>0.12891993814432989</v>
      </c>
      <c r="J106" s="65"/>
      <c r="K106" s="66"/>
    </row>
    <row r="107" spans="1:11" ht="9.9499999999999993" customHeight="1" x14ac:dyDescent="0.2">
      <c r="A107" s="67"/>
      <c r="B107" s="68"/>
      <c r="C107" s="68"/>
      <c r="D107" s="68"/>
      <c r="E107" s="69"/>
      <c r="F107" s="69"/>
      <c r="G107" s="69"/>
      <c r="H107" s="69"/>
      <c r="I107" s="70"/>
      <c r="J107" s="71"/>
      <c r="K107" s="51"/>
    </row>
    <row r="108" spans="1:11" s="2" customFormat="1" x14ac:dyDescent="0.2">
      <c r="A108" s="43">
        <v>9</v>
      </c>
      <c r="B108" s="72"/>
      <c r="C108" s="46" t="s">
        <v>244</v>
      </c>
      <c r="D108" s="47"/>
      <c r="E108" s="48"/>
      <c r="F108" s="49"/>
      <c r="G108" s="48"/>
      <c r="H108" s="49"/>
      <c r="I108" s="50"/>
      <c r="J108" s="73"/>
      <c r="K108" s="74"/>
    </row>
    <row r="109" spans="1:11" s="2" customFormat="1" ht="31.5" x14ac:dyDescent="0.2">
      <c r="A109" s="52" t="s">
        <v>388</v>
      </c>
      <c r="B109" s="53" t="s">
        <v>108</v>
      </c>
      <c r="C109" s="54" t="s">
        <v>109</v>
      </c>
      <c r="D109" s="55" t="s">
        <v>7</v>
      </c>
      <c r="E109" s="56">
        <v>5</v>
      </c>
      <c r="F109" s="56">
        <f t="shared" ref="F109:F112" si="54">ROUND(K109*(1-$K$9),2)</f>
        <v>506.9</v>
      </c>
      <c r="G109" s="56">
        <f t="shared" ref="G109:G112" si="55">ROUND(F109*(IF(J109="O",(1+$E$9),IF(J109="E",(1+$E$18),(1+$E$26)))),2)</f>
        <v>658.97</v>
      </c>
      <c r="H109" s="56">
        <f t="shared" ref="H109:H112" si="56">ROUND((E109*G109),2)</f>
        <v>3294.85</v>
      </c>
      <c r="I109" s="57">
        <f t="shared" ref="I109:I116" si="57">H109/$H$256</f>
        <v>6.7935051546391748E-3</v>
      </c>
      <c r="J109" s="1" t="s">
        <v>59</v>
      </c>
      <c r="K109" s="3">
        <v>506.9</v>
      </c>
    </row>
    <row r="110" spans="1:11" s="2" customFormat="1" ht="31.5" x14ac:dyDescent="0.2">
      <c r="A110" s="52" t="s">
        <v>389</v>
      </c>
      <c r="B110" s="53" t="s">
        <v>110</v>
      </c>
      <c r="C110" s="54" t="s">
        <v>111</v>
      </c>
      <c r="D110" s="55" t="s">
        <v>63</v>
      </c>
      <c r="E110" s="56">
        <v>13</v>
      </c>
      <c r="F110" s="56">
        <f t="shared" si="54"/>
        <v>66.87</v>
      </c>
      <c r="G110" s="56">
        <f t="shared" si="55"/>
        <v>86.93</v>
      </c>
      <c r="H110" s="56">
        <f t="shared" si="56"/>
        <v>1130.0899999999999</v>
      </c>
      <c r="I110" s="57">
        <f t="shared" si="57"/>
        <v>2.3300824742268039E-3</v>
      </c>
      <c r="J110" s="1" t="s">
        <v>59</v>
      </c>
      <c r="K110" s="3">
        <v>66.87</v>
      </c>
    </row>
    <row r="111" spans="1:11" s="2" customFormat="1" ht="63" x14ac:dyDescent="0.2">
      <c r="A111" s="52" t="s">
        <v>390</v>
      </c>
      <c r="B111" s="53" t="s">
        <v>112</v>
      </c>
      <c r="C111" s="54" t="s">
        <v>113</v>
      </c>
      <c r="D111" s="55" t="s">
        <v>7</v>
      </c>
      <c r="E111" s="56">
        <v>6</v>
      </c>
      <c r="F111" s="56">
        <f t="shared" si="54"/>
        <v>1092.51</v>
      </c>
      <c r="G111" s="56">
        <f t="shared" si="55"/>
        <v>1420.26</v>
      </c>
      <c r="H111" s="56">
        <f t="shared" si="56"/>
        <v>8521.56</v>
      </c>
      <c r="I111" s="57">
        <f t="shared" si="57"/>
        <v>1.757022680412371E-2</v>
      </c>
      <c r="J111" s="1" t="s">
        <v>59</v>
      </c>
      <c r="K111" s="3">
        <v>1092.51</v>
      </c>
    </row>
    <row r="112" spans="1:11" s="2" customFormat="1" ht="63" x14ac:dyDescent="0.2">
      <c r="A112" s="52" t="s">
        <v>391</v>
      </c>
      <c r="B112" s="53" t="s">
        <v>114</v>
      </c>
      <c r="C112" s="54" t="s">
        <v>115</v>
      </c>
      <c r="D112" s="55" t="s">
        <v>7</v>
      </c>
      <c r="E112" s="56">
        <v>2</v>
      </c>
      <c r="F112" s="56">
        <f t="shared" si="54"/>
        <v>927.45</v>
      </c>
      <c r="G112" s="56">
        <f t="shared" si="55"/>
        <v>1205.69</v>
      </c>
      <c r="H112" s="56">
        <f t="shared" si="56"/>
        <v>2411.38</v>
      </c>
      <c r="I112" s="57">
        <f t="shared" si="57"/>
        <v>4.971917525773196E-3</v>
      </c>
      <c r="J112" s="1" t="s">
        <v>59</v>
      </c>
      <c r="K112" s="3">
        <v>927.45</v>
      </c>
    </row>
    <row r="113" spans="1:11" s="2" customFormat="1" ht="31.5" x14ac:dyDescent="0.2">
      <c r="A113" s="52" t="s">
        <v>392</v>
      </c>
      <c r="B113" s="53" t="s">
        <v>203</v>
      </c>
      <c r="C113" s="54" t="s">
        <v>204</v>
      </c>
      <c r="D113" s="55" t="s">
        <v>0</v>
      </c>
      <c r="E113" s="56">
        <v>5.57</v>
      </c>
      <c r="F113" s="56">
        <f t="shared" ref="F113" si="58">ROUND(K113*(1-$K$9),2)</f>
        <v>381.1</v>
      </c>
      <c r="G113" s="56">
        <f t="shared" ref="G113:G115" si="59">ROUND(F113*(IF(J113="O",(1+$E$9),IF(J113="E",(1+$E$18),(1+$E$26)))),2)</f>
        <v>495.43</v>
      </c>
      <c r="H113" s="56">
        <f t="shared" ref="H113" si="60">ROUND((E113*G113),2)</f>
        <v>2759.55</v>
      </c>
      <c r="I113" s="57">
        <f t="shared" si="57"/>
        <v>5.6897938144329901E-3</v>
      </c>
      <c r="J113" s="1" t="s">
        <v>59</v>
      </c>
      <c r="K113" s="3">
        <v>381.1</v>
      </c>
    </row>
    <row r="114" spans="1:11" s="2" customFormat="1" ht="31.5" x14ac:dyDescent="0.2">
      <c r="A114" s="52" t="s">
        <v>393</v>
      </c>
      <c r="B114" s="53" t="s">
        <v>245</v>
      </c>
      <c r="C114" s="54" t="s">
        <v>246</v>
      </c>
      <c r="D114" s="55" t="s">
        <v>7</v>
      </c>
      <c r="E114" s="56">
        <v>1</v>
      </c>
      <c r="F114" s="56">
        <f t="shared" ref="F114:F115" si="61">ROUND(K114*(1-$K$9),2)</f>
        <v>225.9</v>
      </c>
      <c r="G114" s="56">
        <f t="shared" si="59"/>
        <v>293.67</v>
      </c>
      <c r="H114" s="56">
        <f t="shared" ref="H114:H115" si="62">ROUND((E114*G114),2)</f>
        <v>293.67</v>
      </c>
      <c r="I114" s="57">
        <f t="shared" si="57"/>
        <v>6.0550515463917527E-4</v>
      </c>
      <c r="J114" s="1" t="s">
        <v>59</v>
      </c>
      <c r="K114" s="3">
        <v>225.9</v>
      </c>
    </row>
    <row r="115" spans="1:11" s="2" customFormat="1" ht="63" x14ac:dyDescent="0.2">
      <c r="A115" s="52" t="s">
        <v>394</v>
      </c>
      <c r="B115" s="53" t="s">
        <v>247</v>
      </c>
      <c r="C115" s="54" t="s">
        <v>248</v>
      </c>
      <c r="D115" s="55" t="s">
        <v>0</v>
      </c>
      <c r="E115" s="56">
        <v>27.98</v>
      </c>
      <c r="F115" s="56">
        <f t="shared" si="61"/>
        <v>264.2</v>
      </c>
      <c r="G115" s="56">
        <f t="shared" si="59"/>
        <v>343.46</v>
      </c>
      <c r="H115" s="56">
        <f t="shared" si="62"/>
        <v>9610.01</v>
      </c>
      <c r="I115" s="57">
        <f t="shared" si="57"/>
        <v>1.9814453608247424E-2</v>
      </c>
      <c r="J115" s="1" t="s">
        <v>59</v>
      </c>
      <c r="K115" s="3">
        <v>264.2</v>
      </c>
    </row>
    <row r="116" spans="1:11" x14ac:dyDescent="0.2">
      <c r="A116" s="58"/>
      <c r="B116" s="59"/>
      <c r="C116" s="46" t="s">
        <v>72</v>
      </c>
      <c r="D116" s="59"/>
      <c r="E116" s="60"/>
      <c r="F116" s="61"/>
      <c r="G116" s="62"/>
      <c r="H116" s="63">
        <f>ROUND(SUM(H109:H115),2)</f>
        <v>28021.11</v>
      </c>
      <c r="I116" s="76">
        <f t="shared" si="57"/>
        <v>5.7775484536082472E-2</v>
      </c>
      <c r="J116" s="65"/>
      <c r="K116" s="66"/>
    </row>
    <row r="117" spans="1:11" ht="9.9499999999999993" customHeight="1" x14ac:dyDescent="0.2">
      <c r="A117" s="67"/>
      <c r="B117" s="68"/>
      <c r="C117" s="68"/>
      <c r="D117" s="68"/>
      <c r="E117" s="69"/>
      <c r="F117" s="69"/>
      <c r="G117" s="69"/>
      <c r="H117" s="69"/>
      <c r="I117" s="70"/>
      <c r="J117" s="65"/>
      <c r="K117" s="66"/>
    </row>
    <row r="118" spans="1:11" x14ac:dyDescent="0.2">
      <c r="A118" s="43">
        <v>10</v>
      </c>
      <c r="B118" s="72"/>
      <c r="C118" s="46" t="s">
        <v>20</v>
      </c>
      <c r="D118" s="47"/>
      <c r="E118" s="48"/>
      <c r="F118" s="49"/>
      <c r="G118" s="48"/>
      <c r="H118" s="49"/>
      <c r="I118" s="50"/>
      <c r="J118" s="71"/>
      <c r="K118" s="51"/>
    </row>
    <row r="119" spans="1:11" x14ac:dyDescent="0.2">
      <c r="A119" s="43" t="s">
        <v>375</v>
      </c>
      <c r="B119" s="87"/>
      <c r="C119" s="46" t="s">
        <v>70</v>
      </c>
      <c r="D119" s="47"/>
      <c r="E119" s="48"/>
      <c r="F119" s="49"/>
      <c r="G119" s="48"/>
      <c r="H119" s="49"/>
      <c r="I119" s="50"/>
      <c r="J119" s="73"/>
      <c r="K119" s="74"/>
    </row>
    <row r="120" spans="1:11" s="2" customFormat="1" ht="47.25" x14ac:dyDescent="0.2">
      <c r="A120" s="52" t="s">
        <v>451</v>
      </c>
      <c r="B120" s="53" t="s">
        <v>136</v>
      </c>
      <c r="C120" s="54" t="s">
        <v>137</v>
      </c>
      <c r="D120" s="55" t="s">
        <v>0</v>
      </c>
      <c r="E120" s="56">
        <f>E81</f>
        <v>782.56</v>
      </c>
      <c r="F120" s="56">
        <f t="shared" ref="F120" si="63">ROUND(K120*(1-$K$9),2)</f>
        <v>5.27</v>
      </c>
      <c r="G120" s="56">
        <f t="shared" ref="G120:G125" si="64">ROUND(F120*(IF(J120="O",(1+$E$9),IF(J120="E",(1+$E$18),(1+$E$26)))),2)</f>
        <v>6.85</v>
      </c>
      <c r="H120" s="56">
        <f t="shared" ref="H120" si="65">ROUND((E120*G120),2)</f>
        <v>5360.54</v>
      </c>
      <c r="I120" s="57">
        <f t="shared" ref="I120:I126" si="66">H120/$H$256</f>
        <v>1.1052659793814434E-2</v>
      </c>
      <c r="J120" s="1" t="s">
        <v>59</v>
      </c>
      <c r="K120" s="3">
        <v>5.27</v>
      </c>
    </row>
    <row r="121" spans="1:11" s="2" customFormat="1" ht="47.25" x14ac:dyDescent="0.2">
      <c r="A121" s="52" t="s">
        <v>452</v>
      </c>
      <c r="B121" s="53" t="s">
        <v>138</v>
      </c>
      <c r="C121" s="54" t="s">
        <v>139</v>
      </c>
      <c r="D121" s="55" t="s">
        <v>0</v>
      </c>
      <c r="E121" s="56">
        <f>E104</f>
        <v>134.02000000000001</v>
      </c>
      <c r="F121" s="56">
        <f t="shared" ref="F121:F122" si="67">ROUND(K121*(1-$K$9),2)</f>
        <v>13.02</v>
      </c>
      <c r="G121" s="56">
        <f t="shared" si="64"/>
        <v>16.93</v>
      </c>
      <c r="H121" s="56">
        <f t="shared" ref="H121:H122" si="68">ROUND((E121*G121),2)</f>
        <v>2268.96</v>
      </c>
      <c r="I121" s="57">
        <f t="shared" si="66"/>
        <v>4.6782680412371137E-3</v>
      </c>
      <c r="J121" s="1" t="s">
        <v>59</v>
      </c>
      <c r="K121" s="3">
        <v>13.02</v>
      </c>
    </row>
    <row r="122" spans="1:11" s="2" customFormat="1" ht="31.5" x14ac:dyDescent="0.2">
      <c r="A122" s="52" t="s">
        <v>453</v>
      </c>
      <c r="B122" s="53" t="s">
        <v>140</v>
      </c>
      <c r="C122" s="54" t="s">
        <v>141</v>
      </c>
      <c r="D122" s="55" t="s">
        <v>0</v>
      </c>
      <c r="E122" s="56">
        <f>E81/2</f>
        <v>391.28</v>
      </c>
      <c r="F122" s="56">
        <f t="shared" si="67"/>
        <v>14.52</v>
      </c>
      <c r="G122" s="56">
        <f t="shared" si="64"/>
        <v>18.88</v>
      </c>
      <c r="H122" s="56">
        <f t="shared" si="68"/>
        <v>7387.37</v>
      </c>
      <c r="I122" s="57">
        <f t="shared" si="66"/>
        <v>1.5231690721649484E-2</v>
      </c>
      <c r="J122" s="1" t="s">
        <v>59</v>
      </c>
      <c r="K122" s="3">
        <v>14.52</v>
      </c>
    </row>
    <row r="123" spans="1:11" s="2" customFormat="1" ht="47.25" x14ac:dyDescent="0.2">
      <c r="A123" s="52" t="s">
        <v>454</v>
      </c>
      <c r="B123" s="53" t="s">
        <v>142</v>
      </c>
      <c r="C123" s="54" t="s">
        <v>201</v>
      </c>
      <c r="D123" s="55" t="s">
        <v>0</v>
      </c>
      <c r="E123" s="56">
        <f>E122</f>
        <v>391.28</v>
      </c>
      <c r="F123" s="56">
        <f t="shared" ref="F123" si="69">ROUND(K123*(1-$K$9),2)</f>
        <v>11.16</v>
      </c>
      <c r="G123" s="56">
        <f t="shared" si="64"/>
        <v>14.51</v>
      </c>
      <c r="H123" s="56">
        <f t="shared" ref="H123" si="70">ROUND((E123*G123),2)</f>
        <v>5677.47</v>
      </c>
      <c r="I123" s="57">
        <f t="shared" si="66"/>
        <v>1.1706123711340206E-2</v>
      </c>
      <c r="J123" s="1" t="s">
        <v>59</v>
      </c>
      <c r="K123" s="3">
        <v>11.16</v>
      </c>
    </row>
    <row r="124" spans="1:11" s="2" customFormat="1" ht="47.25" x14ac:dyDescent="0.2">
      <c r="A124" s="52" t="s">
        <v>455</v>
      </c>
      <c r="B124" s="53" t="s">
        <v>143</v>
      </c>
      <c r="C124" s="54" t="s">
        <v>144</v>
      </c>
      <c r="D124" s="55" t="s">
        <v>0</v>
      </c>
      <c r="E124" s="56">
        <f>E120/2</f>
        <v>391.28</v>
      </c>
      <c r="F124" s="56">
        <f t="shared" ref="F124" si="71">ROUND(K124*(1-$K$9),2)</f>
        <v>13.02</v>
      </c>
      <c r="G124" s="56">
        <f t="shared" si="64"/>
        <v>16.93</v>
      </c>
      <c r="H124" s="56">
        <f t="shared" ref="H124" si="72">ROUND((E124*G124),2)</f>
        <v>6624.37</v>
      </c>
      <c r="I124" s="57">
        <f t="shared" si="66"/>
        <v>1.3658494845360825E-2</v>
      </c>
      <c r="J124" s="1" t="s">
        <v>59</v>
      </c>
      <c r="K124" s="3">
        <v>13.02</v>
      </c>
    </row>
    <row r="125" spans="1:11" s="2" customFormat="1" ht="31.5" x14ac:dyDescent="0.2">
      <c r="A125" s="52" t="s">
        <v>456</v>
      </c>
      <c r="B125" s="53" t="s">
        <v>151</v>
      </c>
      <c r="C125" s="54" t="s">
        <v>152</v>
      </c>
      <c r="D125" s="55" t="s">
        <v>0</v>
      </c>
      <c r="E125" s="56">
        <f>E123/2</f>
        <v>195.64</v>
      </c>
      <c r="F125" s="56">
        <f t="shared" ref="F125" si="73">ROUND(K125*(1-$K$9),2)</f>
        <v>23.53</v>
      </c>
      <c r="G125" s="56">
        <f t="shared" si="64"/>
        <v>30.59</v>
      </c>
      <c r="H125" s="56">
        <f t="shared" ref="H125" si="74">ROUND((E125*G125),2)</f>
        <v>5984.63</v>
      </c>
      <c r="I125" s="57">
        <f t="shared" si="66"/>
        <v>1.2339443298969072E-2</v>
      </c>
      <c r="J125" s="1" t="s">
        <v>59</v>
      </c>
      <c r="K125" s="3">
        <v>23.53</v>
      </c>
    </row>
    <row r="126" spans="1:11" s="2" customFormat="1" x14ac:dyDescent="0.2">
      <c r="A126" s="58"/>
      <c r="B126" s="59"/>
      <c r="C126" s="46" t="s">
        <v>9</v>
      </c>
      <c r="D126" s="59"/>
      <c r="E126" s="60"/>
      <c r="F126" s="49"/>
      <c r="G126" s="50"/>
      <c r="H126" s="63">
        <f>ROUND(SUM(H120:H125),2)</f>
        <v>33303.339999999997</v>
      </c>
      <c r="I126" s="76">
        <f t="shared" si="66"/>
        <v>6.8666680412371131E-2</v>
      </c>
      <c r="J126" s="65"/>
      <c r="K126" s="66"/>
    </row>
    <row r="127" spans="1:11" s="2" customFormat="1" ht="9.9499999999999993" customHeight="1" x14ac:dyDescent="0.2">
      <c r="A127" s="80"/>
      <c r="B127" s="81"/>
      <c r="C127" s="82"/>
      <c r="D127" s="83"/>
      <c r="E127" s="74"/>
      <c r="F127" s="84"/>
      <c r="G127" s="85"/>
      <c r="H127" s="84"/>
      <c r="I127" s="86"/>
      <c r="J127" s="71"/>
      <c r="K127" s="51"/>
    </row>
    <row r="128" spans="1:11" x14ac:dyDescent="0.2">
      <c r="A128" s="43" t="s">
        <v>376</v>
      </c>
      <c r="B128" s="87"/>
      <c r="C128" s="46" t="s">
        <v>71</v>
      </c>
      <c r="D128" s="59"/>
      <c r="E128" s="60"/>
      <c r="F128" s="61"/>
      <c r="G128" s="88"/>
      <c r="H128" s="61"/>
      <c r="I128" s="89"/>
      <c r="J128" s="73"/>
      <c r="K128" s="74"/>
    </row>
    <row r="129" spans="1:11" s="2" customFormat="1" ht="47.25" x14ac:dyDescent="0.2">
      <c r="A129" s="52" t="s">
        <v>457</v>
      </c>
      <c r="B129" s="53" t="s">
        <v>145</v>
      </c>
      <c r="C129" s="54" t="s">
        <v>146</v>
      </c>
      <c r="D129" s="55" t="s">
        <v>0</v>
      </c>
      <c r="E129" s="56">
        <f>12*0.8*2.1*2</f>
        <v>40.320000000000007</v>
      </c>
      <c r="F129" s="56">
        <f t="shared" ref="F129:F130" si="75">ROUND(K129*(1-$K$9),2)</f>
        <v>27.81</v>
      </c>
      <c r="G129" s="56">
        <f t="shared" ref="G129:G131" si="76">ROUND(F129*(IF(J129="O",(1+$E$9),IF(J129="E",(1+$E$18),(1+$E$26)))),2)</f>
        <v>36.15</v>
      </c>
      <c r="H129" s="56">
        <f t="shared" ref="H129:H130" si="77">ROUND((E129*G129),2)</f>
        <v>1457.57</v>
      </c>
      <c r="I129" s="57">
        <f>H129/$H$256</f>
        <v>3.005298969072165E-3</v>
      </c>
      <c r="J129" s="1" t="s">
        <v>59</v>
      </c>
      <c r="K129" s="3">
        <v>27.81</v>
      </c>
    </row>
    <row r="130" spans="1:11" s="2" customFormat="1" ht="47.25" x14ac:dyDescent="0.2">
      <c r="A130" s="52" t="s">
        <v>458</v>
      </c>
      <c r="B130" s="53" t="s">
        <v>147</v>
      </c>
      <c r="C130" s="54" t="s">
        <v>148</v>
      </c>
      <c r="D130" s="55" t="s">
        <v>0</v>
      </c>
      <c r="E130" s="56">
        <f>E129</f>
        <v>40.320000000000007</v>
      </c>
      <c r="F130" s="56">
        <f t="shared" si="75"/>
        <v>20.12</v>
      </c>
      <c r="G130" s="56">
        <f t="shared" si="76"/>
        <v>26.16</v>
      </c>
      <c r="H130" s="56">
        <f t="shared" si="77"/>
        <v>1054.77</v>
      </c>
      <c r="I130" s="57">
        <f>H130/$H$256</f>
        <v>2.1747835051546391E-3</v>
      </c>
      <c r="J130" s="1" t="s">
        <v>59</v>
      </c>
      <c r="K130" s="3">
        <v>20.12</v>
      </c>
    </row>
    <row r="131" spans="1:11" s="2" customFormat="1" ht="47.25" x14ac:dyDescent="0.2">
      <c r="A131" s="52" t="s">
        <v>459</v>
      </c>
      <c r="B131" s="53" t="s">
        <v>149</v>
      </c>
      <c r="C131" s="54" t="s">
        <v>150</v>
      </c>
      <c r="D131" s="55" t="s">
        <v>0</v>
      </c>
      <c r="E131" s="56">
        <v>6</v>
      </c>
      <c r="F131" s="56">
        <f t="shared" ref="F131" si="78">ROUND(K131*(1-$K$9),2)</f>
        <v>29.43</v>
      </c>
      <c r="G131" s="56">
        <f t="shared" si="76"/>
        <v>38.26</v>
      </c>
      <c r="H131" s="56">
        <f t="shared" ref="H131" si="79">ROUND((E131*G131),2)</f>
        <v>229.56</v>
      </c>
      <c r="I131" s="57">
        <f>H131/$H$256</f>
        <v>4.7331958762886596E-4</v>
      </c>
      <c r="J131" s="1" t="s">
        <v>59</v>
      </c>
      <c r="K131" s="3">
        <v>29.43</v>
      </c>
    </row>
    <row r="132" spans="1:11" s="2" customFormat="1" x14ac:dyDescent="0.2">
      <c r="A132" s="58"/>
      <c r="B132" s="59"/>
      <c r="C132" s="46" t="s">
        <v>9</v>
      </c>
      <c r="D132" s="59"/>
      <c r="E132" s="60"/>
      <c r="F132" s="49"/>
      <c r="G132" s="50"/>
      <c r="H132" s="63">
        <f>ROUND(SUM(H129:H131),2)</f>
        <v>2741.9</v>
      </c>
      <c r="I132" s="76">
        <f>H132/$H$256</f>
        <v>5.65340206185567E-3</v>
      </c>
      <c r="J132" s="65"/>
      <c r="K132" s="66"/>
    </row>
    <row r="133" spans="1:11" s="2" customFormat="1" x14ac:dyDescent="0.2">
      <c r="A133" s="58"/>
      <c r="B133" s="59"/>
      <c r="C133" s="46" t="s">
        <v>78</v>
      </c>
      <c r="D133" s="59"/>
      <c r="E133" s="60"/>
      <c r="F133" s="61"/>
      <c r="G133" s="62"/>
      <c r="H133" s="63">
        <f>ROUND(H126+H132,2)</f>
        <v>36045.24</v>
      </c>
      <c r="I133" s="76">
        <f>H133/$H$256</f>
        <v>7.4320082474226806E-2</v>
      </c>
      <c r="J133" s="65"/>
      <c r="K133" s="66"/>
    </row>
    <row r="134" spans="1:11" s="2" customFormat="1" ht="9.9499999999999993" customHeight="1" x14ac:dyDescent="0.2">
      <c r="A134" s="67"/>
      <c r="B134" s="68"/>
      <c r="C134" s="68"/>
      <c r="D134" s="68"/>
      <c r="E134" s="69"/>
      <c r="F134" s="69"/>
      <c r="G134" s="69"/>
      <c r="H134" s="69"/>
      <c r="I134" s="70"/>
      <c r="J134" s="71"/>
      <c r="K134" s="51"/>
    </row>
    <row r="135" spans="1:11" s="2" customFormat="1" x14ac:dyDescent="0.2">
      <c r="A135" s="43">
        <v>11</v>
      </c>
      <c r="B135" s="72"/>
      <c r="C135" s="46" t="s">
        <v>18</v>
      </c>
      <c r="D135" s="47"/>
      <c r="E135" s="48"/>
      <c r="F135" s="49"/>
      <c r="G135" s="48"/>
      <c r="H135" s="49"/>
      <c r="I135" s="50"/>
      <c r="J135" s="73"/>
      <c r="K135" s="74"/>
    </row>
    <row r="136" spans="1:11" s="2" customFormat="1" x14ac:dyDescent="0.2">
      <c r="A136" s="52" t="s">
        <v>395</v>
      </c>
      <c r="B136" s="53" t="s">
        <v>153</v>
      </c>
      <c r="C136" s="54" t="s">
        <v>154</v>
      </c>
      <c r="D136" s="55" t="s">
        <v>0</v>
      </c>
      <c r="E136" s="56">
        <v>4.68</v>
      </c>
      <c r="F136" s="56">
        <f t="shared" ref="F136" si="80">ROUND(K136*(1-$K$9),2)</f>
        <v>216.7</v>
      </c>
      <c r="G136" s="56">
        <f t="shared" ref="G136:G139" si="81">ROUND(F136*(IF(J136="O",(1+$E$9),IF(J136="E",(1+$E$18),(1+$E$26)))),2)</f>
        <v>281.70999999999998</v>
      </c>
      <c r="H136" s="56">
        <f t="shared" ref="H136" si="82">ROUND((E136*G136),2)</f>
        <v>1318.4</v>
      </c>
      <c r="I136" s="57">
        <f t="shared" ref="I136:I145" si="83">H136/$H$256</f>
        <v>2.7183505154639177E-3</v>
      </c>
      <c r="J136" s="1" t="s">
        <v>59</v>
      </c>
      <c r="K136" s="3">
        <v>216.7</v>
      </c>
    </row>
    <row r="137" spans="1:11" s="2" customFormat="1" ht="31.5" x14ac:dyDescent="0.2">
      <c r="A137" s="52" t="s">
        <v>396</v>
      </c>
      <c r="B137" s="53" t="s">
        <v>155</v>
      </c>
      <c r="C137" s="54" t="s">
        <v>156</v>
      </c>
      <c r="D137" s="55" t="s">
        <v>0</v>
      </c>
      <c r="E137" s="56">
        <v>14.2</v>
      </c>
      <c r="F137" s="56">
        <f t="shared" ref="F137:F139" si="84">ROUND(K137*(1-$K$9),2)</f>
        <v>337.41</v>
      </c>
      <c r="G137" s="56">
        <f t="shared" si="81"/>
        <v>438.63</v>
      </c>
      <c r="H137" s="56">
        <f t="shared" ref="H137:H139" si="85">ROUND((E137*G137),2)</f>
        <v>6228.55</v>
      </c>
      <c r="I137" s="57">
        <f t="shared" si="83"/>
        <v>1.2842371134020619E-2</v>
      </c>
      <c r="J137" s="1" t="s">
        <v>59</v>
      </c>
      <c r="K137" s="3">
        <v>337.41</v>
      </c>
    </row>
    <row r="138" spans="1:11" s="2" customFormat="1" ht="47.25" x14ac:dyDescent="0.2">
      <c r="A138" s="52" t="s">
        <v>397</v>
      </c>
      <c r="B138" s="53" t="s">
        <v>157</v>
      </c>
      <c r="C138" s="54" t="s">
        <v>158</v>
      </c>
      <c r="D138" s="55" t="s">
        <v>14</v>
      </c>
      <c r="E138" s="56">
        <v>24.2</v>
      </c>
      <c r="F138" s="56">
        <f t="shared" si="84"/>
        <v>43.68</v>
      </c>
      <c r="G138" s="56">
        <f t="shared" si="81"/>
        <v>56.78</v>
      </c>
      <c r="H138" s="56">
        <f t="shared" si="85"/>
        <v>1374.08</v>
      </c>
      <c r="I138" s="57">
        <f t="shared" si="83"/>
        <v>2.8331546391752575E-3</v>
      </c>
      <c r="J138" s="1" t="s">
        <v>59</v>
      </c>
      <c r="K138" s="3">
        <v>43.68</v>
      </c>
    </row>
    <row r="139" spans="1:11" s="2" customFormat="1" ht="63" x14ac:dyDescent="0.2">
      <c r="A139" s="52" t="s">
        <v>398</v>
      </c>
      <c r="B139" s="53" t="s">
        <v>159</v>
      </c>
      <c r="C139" s="54" t="s">
        <v>202</v>
      </c>
      <c r="D139" s="55" t="s">
        <v>14</v>
      </c>
      <c r="E139" s="56">
        <v>24.2</v>
      </c>
      <c r="F139" s="56">
        <f t="shared" si="84"/>
        <v>158.69</v>
      </c>
      <c r="G139" s="56">
        <f t="shared" si="81"/>
        <v>206.3</v>
      </c>
      <c r="H139" s="56">
        <f t="shared" si="85"/>
        <v>4992.46</v>
      </c>
      <c r="I139" s="57">
        <f t="shared" si="83"/>
        <v>1.0293731958762887E-2</v>
      </c>
      <c r="J139" s="1" t="s">
        <v>59</v>
      </c>
      <c r="K139" s="3">
        <v>158.69</v>
      </c>
    </row>
    <row r="140" spans="1:11" s="2" customFormat="1" ht="47.25" x14ac:dyDescent="0.2">
      <c r="A140" s="52" t="s">
        <v>399</v>
      </c>
      <c r="B140" s="53" t="s">
        <v>255</v>
      </c>
      <c r="C140" s="54" t="s">
        <v>256</v>
      </c>
      <c r="D140" s="55" t="s">
        <v>7</v>
      </c>
      <c r="E140" s="56">
        <v>1</v>
      </c>
      <c r="F140" s="56">
        <f t="shared" ref="F140" si="86">ROUND(K140*(1-$K$9),2)</f>
        <v>265.32</v>
      </c>
      <c r="G140" s="56">
        <f t="shared" ref="G140:G142" si="87">ROUND(F140*(IF(J140="O",(1+$E$9),IF(J140="E",(1+$E$18),(1+$E$26)))),2)</f>
        <v>344.92</v>
      </c>
      <c r="H140" s="56">
        <f t="shared" ref="H140" si="88">ROUND((E140*G140),2)</f>
        <v>344.92</v>
      </c>
      <c r="I140" s="57">
        <f t="shared" si="83"/>
        <v>7.111752577319588E-4</v>
      </c>
      <c r="J140" s="1" t="s">
        <v>59</v>
      </c>
      <c r="K140" s="3">
        <v>265.32</v>
      </c>
    </row>
    <row r="141" spans="1:11" s="2" customFormat="1" ht="63" customHeight="1" x14ac:dyDescent="0.2">
      <c r="A141" s="52" t="s">
        <v>400</v>
      </c>
      <c r="B141" s="53" t="s">
        <v>290</v>
      </c>
      <c r="C141" s="54" t="s">
        <v>291</v>
      </c>
      <c r="D141" s="55" t="s">
        <v>7</v>
      </c>
      <c r="E141" s="56">
        <v>2</v>
      </c>
      <c r="F141" s="56">
        <f t="shared" ref="F141:F142" si="89">ROUND(K141*(1-$K$9),2)</f>
        <v>151.04</v>
      </c>
      <c r="G141" s="56">
        <f t="shared" si="87"/>
        <v>196.35</v>
      </c>
      <c r="H141" s="56">
        <f t="shared" ref="H141:H142" si="90">ROUND((E141*G141),2)</f>
        <v>392.7</v>
      </c>
      <c r="I141" s="57">
        <f t="shared" si="83"/>
        <v>8.0969072164948448E-4</v>
      </c>
      <c r="J141" s="1" t="s">
        <v>59</v>
      </c>
      <c r="K141" s="3">
        <v>151.04</v>
      </c>
    </row>
    <row r="142" spans="1:11" s="2" customFormat="1" ht="63" x14ac:dyDescent="0.2">
      <c r="A142" s="52" t="s">
        <v>401</v>
      </c>
      <c r="B142" s="53" t="s">
        <v>292</v>
      </c>
      <c r="C142" s="54" t="s">
        <v>293</v>
      </c>
      <c r="D142" s="55" t="s">
        <v>7</v>
      </c>
      <c r="E142" s="56">
        <v>2</v>
      </c>
      <c r="F142" s="56">
        <f t="shared" si="89"/>
        <v>192.64</v>
      </c>
      <c r="G142" s="56">
        <f t="shared" si="87"/>
        <v>250.43</v>
      </c>
      <c r="H142" s="56">
        <f t="shared" si="90"/>
        <v>500.86</v>
      </c>
      <c r="I142" s="57">
        <f t="shared" si="83"/>
        <v>1.0327010309278352E-3</v>
      </c>
      <c r="J142" s="1" t="s">
        <v>59</v>
      </c>
      <c r="K142" s="3">
        <v>192.64</v>
      </c>
    </row>
    <row r="143" spans="1:11" s="2" customFormat="1" ht="63" x14ac:dyDescent="0.2">
      <c r="A143" s="52" t="s">
        <v>402</v>
      </c>
      <c r="B143" s="53" t="s">
        <v>524</v>
      </c>
      <c r="C143" s="54" t="s">
        <v>522</v>
      </c>
      <c r="D143" s="55" t="s">
        <v>14</v>
      </c>
      <c r="E143" s="56">
        <f>6.5-E144</f>
        <v>3.1</v>
      </c>
      <c r="F143" s="56">
        <f t="shared" ref="F143" si="91">ROUND(K143*(1-$K$9),2)</f>
        <v>665.84</v>
      </c>
      <c r="G143" s="56">
        <f t="shared" ref="G143" si="92">ROUND(F143*(IF(J143="O",(1+$E$9),IF(J143="E",(1+$E$18),(1+$E$26)))),2)</f>
        <v>865.59</v>
      </c>
      <c r="H143" s="56">
        <f t="shared" ref="H143" si="93">ROUND((E143*G143),2)</f>
        <v>2683.33</v>
      </c>
      <c r="I143" s="57">
        <f t="shared" si="83"/>
        <v>5.5326391752577317E-3</v>
      </c>
      <c r="J143" s="1" t="s">
        <v>59</v>
      </c>
      <c r="K143" s="3">
        <v>665.84</v>
      </c>
    </row>
    <row r="144" spans="1:11" s="2" customFormat="1" ht="31.5" x14ac:dyDescent="0.2">
      <c r="A144" s="52" t="s">
        <v>523</v>
      </c>
      <c r="B144" s="53" t="s">
        <v>526</v>
      </c>
      <c r="C144" s="54" t="s">
        <v>525</v>
      </c>
      <c r="D144" s="55" t="s">
        <v>14</v>
      </c>
      <c r="E144" s="56">
        <v>3.4</v>
      </c>
      <c r="F144" s="56">
        <f t="shared" ref="F144" si="94">ROUND(K144*(1-$K$9),2)</f>
        <v>136.01</v>
      </c>
      <c r="G144" s="56">
        <f t="shared" ref="G144" si="95">ROUND(F144*(IF(J144="O",(1+$E$9),IF(J144="E",(1+$E$18),(1+$E$26)))),2)</f>
        <v>176.81</v>
      </c>
      <c r="H144" s="56">
        <f t="shared" ref="H144" si="96">ROUND((E144*G144),2)</f>
        <v>601.15</v>
      </c>
      <c r="I144" s="57">
        <f t="shared" si="83"/>
        <v>1.2394845360824741E-3</v>
      </c>
      <c r="J144" s="1" t="s">
        <v>59</v>
      </c>
      <c r="K144" s="3">
        <v>136.01</v>
      </c>
    </row>
    <row r="145" spans="1:11" x14ac:dyDescent="0.2">
      <c r="A145" s="58"/>
      <c r="B145" s="59"/>
      <c r="C145" s="46" t="s">
        <v>313</v>
      </c>
      <c r="D145" s="59"/>
      <c r="E145" s="60"/>
      <c r="F145" s="61"/>
      <c r="G145" s="62"/>
      <c r="H145" s="63">
        <f>ROUND(SUM(H136:H144),2)</f>
        <v>18436.45</v>
      </c>
      <c r="I145" s="76">
        <f t="shared" si="83"/>
        <v>3.8013298969072164E-2</v>
      </c>
      <c r="J145" s="65"/>
      <c r="K145" s="66"/>
    </row>
    <row r="146" spans="1:11" ht="9.9499999999999993" customHeight="1" x14ac:dyDescent="0.2">
      <c r="A146" s="67"/>
      <c r="B146" s="68"/>
      <c r="C146" s="68"/>
      <c r="D146" s="68"/>
      <c r="E146" s="69"/>
      <c r="F146" s="69"/>
      <c r="G146" s="69"/>
      <c r="H146" s="69"/>
      <c r="I146" s="70"/>
      <c r="J146" s="65"/>
      <c r="K146" s="66"/>
    </row>
    <row r="147" spans="1:11" x14ac:dyDescent="0.2">
      <c r="A147" s="43">
        <v>12</v>
      </c>
      <c r="B147" s="72"/>
      <c r="C147" s="46" t="s">
        <v>21</v>
      </c>
      <c r="D147" s="47"/>
      <c r="E147" s="48"/>
      <c r="F147" s="49"/>
      <c r="G147" s="48"/>
      <c r="H147" s="49"/>
      <c r="I147" s="50"/>
      <c r="J147" s="71"/>
      <c r="K147" s="51"/>
    </row>
    <row r="148" spans="1:11" s="91" customFormat="1" x14ac:dyDescent="0.2">
      <c r="A148" s="43" t="s">
        <v>338</v>
      </c>
      <c r="B148" s="90"/>
      <c r="C148" s="46" t="s">
        <v>318</v>
      </c>
      <c r="D148" s="59"/>
      <c r="E148" s="60"/>
      <c r="F148" s="61"/>
      <c r="G148" s="88"/>
      <c r="H148" s="49"/>
      <c r="I148" s="50"/>
      <c r="J148" s="73"/>
      <c r="K148" s="74"/>
    </row>
    <row r="149" spans="1:11" s="2" customFormat="1" ht="47.25" customHeight="1" x14ac:dyDescent="0.2">
      <c r="A149" s="52" t="s">
        <v>403</v>
      </c>
      <c r="B149" s="53" t="s">
        <v>515</v>
      </c>
      <c r="C149" s="54" t="s">
        <v>514</v>
      </c>
      <c r="D149" s="55" t="s">
        <v>7</v>
      </c>
      <c r="E149" s="56">
        <v>2</v>
      </c>
      <c r="F149" s="56">
        <f t="shared" ref="F149" si="97">ROUND(K149*(1-$K$9),2)</f>
        <v>1536.72</v>
      </c>
      <c r="G149" s="56">
        <f t="shared" ref="G149" si="98">ROUND(F149*(IF(J149="O",(1+$E$9),IF(J149="E",(1+$E$18),(1+$E$26)))),2)</f>
        <v>1997.74</v>
      </c>
      <c r="H149" s="56">
        <f t="shared" ref="H149" si="99">ROUND((E149*G149),2)</f>
        <v>3995.48</v>
      </c>
      <c r="I149" s="57">
        <f>H149/$H$256</f>
        <v>8.2381030927835049E-3</v>
      </c>
      <c r="J149" s="1" t="s">
        <v>59</v>
      </c>
      <c r="K149" s="3">
        <v>1536.72</v>
      </c>
    </row>
    <row r="150" spans="1:11" s="2" customFormat="1" ht="47.25" x14ac:dyDescent="0.2">
      <c r="A150" s="52" t="s">
        <v>404</v>
      </c>
      <c r="B150" s="53" t="s">
        <v>211</v>
      </c>
      <c r="C150" s="54" t="s">
        <v>212</v>
      </c>
      <c r="D150" s="55" t="s">
        <v>14</v>
      </c>
      <c r="E150" s="56">
        <v>110</v>
      </c>
      <c r="F150" s="56">
        <f t="shared" ref="F150:F152" si="100">ROUND(K150*(1-$K$9),2)</f>
        <v>21.06</v>
      </c>
      <c r="G150" s="56">
        <f t="shared" ref="G150:G152" si="101">ROUND(F150*(IF(J150="O",(1+$E$9),IF(J150="E",(1+$E$18),(1+$E$26)))),2)</f>
        <v>27.38</v>
      </c>
      <c r="H150" s="56">
        <f t="shared" ref="H150:H152" si="102">ROUND((E150*G150),2)</f>
        <v>3011.8</v>
      </c>
      <c r="I150" s="57">
        <f>H150/$H$256</f>
        <v>6.209896907216495E-3</v>
      </c>
      <c r="J150" s="1" t="s">
        <v>59</v>
      </c>
      <c r="K150" s="3">
        <v>21.06</v>
      </c>
    </row>
    <row r="151" spans="1:11" s="2" customFormat="1" ht="47.25" x14ac:dyDescent="0.2">
      <c r="A151" s="52" t="s">
        <v>405</v>
      </c>
      <c r="B151" s="53" t="s">
        <v>213</v>
      </c>
      <c r="C151" s="54" t="s">
        <v>214</v>
      </c>
      <c r="D151" s="55" t="s">
        <v>14</v>
      </c>
      <c r="E151" s="56">
        <v>29.9</v>
      </c>
      <c r="F151" s="56">
        <f t="shared" si="100"/>
        <v>40.700000000000003</v>
      </c>
      <c r="G151" s="56">
        <f t="shared" si="101"/>
        <v>52.91</v>
      </c>
      <c r="H151" s="56">
        <f t="shared" si="102"/>
        <v>1582.01</v>
      </c>
      <c r="I151" s="57">
        <f>H151/$H$256</f>
        <v>3.2618762886597939E-3</v>
      </c>
      <c r="J151" s="1" t="s">
        <v>59</v>
      </c>
      <c r="K151" s="3">
        <v>40.700000000000003</v>
      </c>
    </row>
    <row r="152" spans="1:11" s="2" customFormat="1" ht="31.5" customHeight="1" x14ac:dyDescent="0.2">
      <c r="A152" s="52" t="s">
        <v>406</v>
      </c>
      <c r="B152" s="53" t="s">
        <v>215</v>
      </c>
      <c r="C152" s="54" t="s">
        <v>216</v>
      </c>
      <c r="D152" s="55" t="s">
        <v>14</v>
      </c>
      <c r="E152" s="56">
        <v>6</v>
      </c>
      <c r="F152" s="56">
        <f t="shared" si="100"/>
        <v>55.36</v>
      </c>
      <c r="G152" s="56">
        <f t="shared" si="101"/>
        <v>71.97</v>
      </c>
      <c r="H152" s="56">
        <f t="shared" si="102"/>
        <v>431.82</v>
      </c>
      <c r="I152" s="57">
        <f>H152/$H$256</f>
        <v>8.9035051546391747E-4</v>
      </c>
      <c r="J152" s="1" t="s">
        <v>59</v>
      </c>
      <c r="K152" s="3">
        <v>55.36</v>
      </c>
    </row>
    <row r="153" spans="1:11" s="2" customFormat="1" x14ac:dyDescent="0.2">
      <c r="A153" s="58"/>
      <c r="B153" s="59"/>
      <c r="C153" s="46" t="s">
        <v>9</v>
      </c>
      <c r="D153" s="59"/>
      <c r="E153" s="60"/>
      <c r="F153" s="49"/>
      <c r="G153" s="50"/>
      <c r="H153" s="63">
        <f>ROUND(SUM(H149:H152),2)</f>
        <v>9021.11</v>
      </c>
      <c r="I153" s="76">
        <f>H153/$H$256</f>
        <v>1.8600226804123713E-2</v>
      </c>
      <c r="J153" s="65"/>
      <c r="K153" s="66"/>
    </row>
    <row r="154" spans="1:11" s="2" customFormat="1" ht="9.9499999999999993" customHeight="1" x14ac:dyDescent="0.2">
      <c r="A154" s="92"/>
      <c r="B154" s="83"/>
      <c r="C154" s="82"/>
      <c r="D154" s="83"/>
      <c r="E154" s="93"/>
      <c r="F154" s="94"/>
      <c r="G154" s="94"/>
      <c r="H154" s="84"/>
      <c r="I154" s="95"/>
      <c r="J154" s="71"/>
      <c r="K154" s="51"/>
    </row>
    <row r="155" spans="1:11" s="2" customFormat="1" x14ac:dyDescent="0.2">
      <c r="A155" s="43" t="s">
        <v>339</v>
      </c>
      <c r="B155" s="87"/>
      <c r="C155" s="46" t="s">
        <v>319</v>
      </c>
      <c r="D155" s="59"/>
      <c r="E155" s="60"/>
      <c r="F155" s="49"/>
      <c r="G155" s="49"/>
      <c r="H155" s="49"/>
      <c r="I155" s="50"/>
      <c r="J155" s="73"/>
      <c r="K155" s="74"/>
    </row>
    <row r="156" spans="1:11" s="2" customFormat="1" ht="47.25" x14ac:dyDescent="0.2">
      <c r="A156" s="52" t="s">
        <v>407</v>
      </c>
      <c r="B156" s="53" t="s">
        <v>316</v>
      </c>
      <c r="C156" s="54" t="s">
        <v>317</v>
      </c>
      <c r="D156" s="55" t="s">
        <v>14</v>
      </c>
      <c r="E156" s="56">
        <v>24.4</v>
      </c>
      <c r="F156" s="56">
        <f>ROUND(K156*(1-$K$9),2)</f>
        <v>41.74</v>
      </c>
      <c r="G156" s="56">
        <f t="shared" ref="G156" si="103">ROUND(F156*(IF(J156="O",(1+$E$9),IF(J156="E",(1+$E$18),(1+$E$26)))),2)</f>
        <v>54.26</v>
      </c>
      <c r="H156" s="56">
        <f>ROUND((E156*G156),2)</f>
        <v>1323.94</v>
      </c>
      <c r="I156" s="57">
        <f>H156/$H$256</f>
        <v>2.7297731958762887E-3</v>
      </c>
      <c r="J156" s="1" t="s">
        <v>59</v>
      </c>
      <c r="K156" s="3">
        <v>41.74</v>
      </c>
    </row>
    <row r="157" spans="1:11" s="2" customFormat="1" x14ac:dyDescent="0.2">
      <c r="A157" s="58"/>
      <c r="B157" s="59"/>
      <c r="C157" s="46" t="s">
        <v>9</v>
      </c>
      <c r="D157" s="59"/>
      <c r="E157" s="60"/>
      <c r="F157" s="61"/>
      <c r="G157" s="62"/>
      <c r="H157" s="63">
        <f>ROUND(SUM(H156:H156),2)</f>
        <v>1323.94</v>
      </c>
      <c r="I157" s="76">
        <f>H157/$H$256</f>
        <v>2.7297731958762887E-3</v>
      </c>
      <c r="J157" s="65"/>
      <c r="K157" s="66"/>
    </row>
    <row r="158" spans="1:11" s="2" customFormat="1" ht="9.9499999999999993" customHeight="1" x14ac:dyDescent="0.2">
      <c r="A158" s="92"/>
      <c r="B158" s="83"/>
      <c r="C158" s="82"/>
      <c r="D158" s="83"/>
      <c r="E158" s="93"/>
      <c r="F158" s="84"/>
      <c r="G158" s="85"/>
      <c r="H158" s="84"/>
      <c r="I158" s="95"/>
      <c r="J158" s="71"/>
      <c r="K158" s="51"/>
    </row>
    <row r="159" spans="1:11" s="2" customFormat="1" x14ac:dyDescent="0.2">
      <c r="A159" s="43" t="s">
        <v>340</v>
      </c>
      <c r="B159" s="90"/>
      <c r="C159" s="46" t="s">
        <v>320</v>
      </c>
      <c r="D159" s="59"/>
      <c r="E159" s="60"/>
      <c r="F159" s="61"/>
      <c r="G159" s="88"/>
      <c r="H159" s="49"/>
      <c r="I159" s="50"/>
      <c r="J159" s="73"/>
      <c r="K159" s="74"/>
    </row>
    <row r="160" spans="1:11" s="2" customFormat="1" ht="47.25" x14ac:dyDescent="0.2">
      <c r="A160" s="52" t="s">
        <v>408</v>
      </c>
      <c r="B160" s="53" t="s">
        <v>205</v>
      </c>
      <c r="C160" s="54" t="s">
        <v>206</v>
      </c>
      <c r="D160" s="55" t="s">
        <v>14</v>
      </c>
      <c r="E160" s="56">
        <v>38.700000000000003</v>
      </c>
      <c r="F160" s="56">
        <f t="shared" ref="F160:F162" si="104">ROUND(K160*(1-$K$9),2)</f>
        <v>20.63</v>
      </c>
      <c r="G160" s="56">
        <f t="shared" ref="G160:G163" si="105">ROUND(F160*(IF(J160="O",(1+$E$9),IF(J160="E",(1+$E$18),(1+$E$26)))),2)</f>
        <v>26.82</v>
      </c>
      <c r="H160" s="56">
        <f t="shared" ref="H160:H162" si="106">ROUND((E160*G160),2)</f>
        <v>1037.93</v>
      </c>
      <c r="I160" s="57">
        <f t="shared" ref="I160:I169" si="107">H160/$H$256</f>
        <v>2.1400618556701033E-3</v>
      </c>
      <c r="J160" s="1" t="s">
        <v>59</v>
      </c>
      <c r="K160" s="3">
        <v>20.63</v>
      </c>
    </row>
    <row r="161" spans="1:11" s="2" customFormat="1" ht="47.25" x14ac:dyDescent="0.2">
      <c r="A161" s="52" t="s">
        <v>409</v>
      </c>
      <c r="B161" s="53" t="s">
        <v>209</v>
      </c>
      <c r="C161" s="54" t="s">
        <v>210</v>
      </c>
      <c r="D161" s="55" t="s">
        <v>14</v>
      </c>
      <c r="E161" s="56">
        <v>35.200000000000003</v>
      </c>
      <c r="F161" s="56">
        <f t="shared" ref="F161" si="108">ROUND(K161*(1-$K$9),2)</f>
        <v>28.61</v>
      </c>
      <c r="G161" s="56">
        <f t="shared" si="105"/>
        <v>37.19</v>
      </c>
      <c r="H161" s="56">
        <f t="shared" ref="H161" si="109">ROUND((E161*G161),2)</f>
        <v>1309.0899999999999</v>
      </c>
      <c r="I161" s="57">
        <f t="shared" si="107"/>
        <v>2.6991546391752575E-3</v>
      </c>
      <c r="J161" s="1" t="s">
        <v>59</v>
      </c>
      <c r="K161" s="3">
        <v>28.61</v>
      </c>
    </row>
    <row r="162" spans="1:11" s="2" customFormat="1" ht="47.25" x14ac:dyDescent="0.2">
      <c r="A162" s="52" t="s">
        <v>410</v>
      </c>
      <c r="B162" s="53" t="s">
        <v>207</v>
      </c>
      <c r="C162" s="54" t="s">
        <v>208</v>
      </c>
      <c r="D162" s="55" t="s">
        <v>14</v>
      </c>
      <c r="E162" s="56">
        <v>59.5</v>
      </c>
      <c r="F162" s="56">
        <f t="shared" si="104"/>
        <v>42.73</v>
      </c>
      <c r="G162" s="56">
        <f t="shared" si="105"/>
        <v>55.55</v>
      </c>
      <c r="H162" s="56">
        <f t="shared" si="106"/>
        <v>3305.23</v>
      </c>
      <c r="I162" s="57">
        <f t="shared" si="107"/>
        <v>6.8149072164948457E-3</v>
      </c>
      <c r="J162" s="1" t="s">
        <v>59</v>
      </c>
      <c r="K162" s="3">
        <v>42.73</v>
      </c>
    </row>
    <row r="163" spans="1:11" s="2" customFormat="1" ht="78.75" x14ac:dyDescent="0.2">
      <c r="A163" s="52" t="s">
        <v>460</v>
      </c>
      <c r="B163" s="53" t="s">
        <v>229</v>
      </c>
      <c r="C163" s="54" t="s">
        <v>230</v>
      </c>
      <c r="D163" s="55" t="s">
        <v>7</v>
      </c>
      <c r="E163" s="56">
        <v>4</v>
      </c>
      <c r="F163" s="56">
        <f t="shared" ref="F163" si="110">ROUND(K163*(1-$K$9),2)</f>
        <v>378.92</v>
      </c>
      <c r="G163" s="56">
        <f t="shared" si="105"/>
        <v>492.6</v>
      </c>
      <c r="H163" s="56">
        <f t="shared" ref="H163" si="111">ROUND((E163*G163),2)</f>
        <v>1970.4</v>
      </c>
      <c r="I163" s="57">
        <f t="shared" si="107"/>
        <v>4.0626804123711346E-3</v>
      </c>
      <c r="J163" s="1" t="s">
        <v>59</v>
      </c>
      <c r="K163" s="3">
        <v>378.92</v>
      </c>
    </row>
    <row r="164" spans="1:11" s="2" customFormat="1" ht="31.5" x14ac:dyDescent="0.2">
      <c r="A164" s="52" t="s">
        <v>461</v>
      </c>
      <c r="B164" s="53" t="s">
        <v>326</v>
      </c>
      <c r="C164" s="54" t="s">
        <v>327</v>
      </c>
      <c r="D164" s="55" t="s">
        <v>7</v>
      </c>
      <c r="E164" s="56">
        <v>5</v>
      </c>
      <c r="F164" s="56">
        <f t="shared" ref="F164" si="112">ROUND(K164*(1-$K$9),2)</f>
        <v>60.8</v>
      </c>
      <c r="G164" s="56">
        <f t="shared" ref="G164" si="113">ROUND(F164*(IF(J164="O",(1+$E$9),IF(J164="E",(1+$E$18),(1+$E$26)))),2)</f>
        <v>79.040000000000006</v>
      </c>
      <c r="H164" s="56">
        <f t="shared" ref="H164" si="114">ROUND((E164*G164),2)</f>
        <v>395.2</v>
      </c>
      <c r="I164" s="57">
        <f t="shared" si="107"/>
        <v>8.1484536082474229E-4</v>
      </c>
      <c r="J164" s="1" t="s">
        <v>59</v>
      </c>
      <c r="K164" s="3">
        <v>60.8</v>
      </c>
    </row>
    <row r="165" spans="1:11" s="2" customFormat="1" ht="31.5" x14ac:dyDescent="0.2">
      <c r="A165" s="52" t="s">
        <v>462</v>
      </c>
      <c r="B165" s="53" t="s">
        <v>328</v>
      </c>
      <c r="C165" s="54" t="s">
        <v>329</v>
      </c>
      <c r="D165" s="55" t="s">
        <v>7</v>
      </c>
      <c r="E165" s="56">
        <v>1</v>
      </c>
      <c r="F165" s="56">
        <f>ROUND(K165*(1-$K$9),2)</f>
        <v>23.04</v>
      </c>
      <c r="G165" s="56">
        <f>ROUND(F165*(IF(J165="O",(1+$E$9),IF(J165="E",(1+$E$18),(1+$E$26)))),2)</f>
        <v>29.95</v>
      </c>
      <c r="H165" s="56">
        <f>ROUND((E165*G165),2)</f>
        <v>29.95</v>
      </c>
      <c r="I165" s="57">
        <f t="shared" si="107"/>
        <v>6.1752577319587631E-5</v>
      </c>
      <c r="J165" s="1" t="s">
        <v>59</v>
      </c>
      <c r="K165" s="3">
        <v>23.04</v>
      </c>
    </row>
    <row r="166" spans="1:11" s="2" customFormat="1" ht="47.25" x14ac:dyDescent="0.2">
      <c r="A166" s="52" t="s">
        <v>519</v>
      </c>
      <c r="B166" s="53">
        <v>98082</v>
      </c>
      <c r="C166" s="54" t="s">
        <v>516</v>
      </c>
      <c r="D166" s="55" t="s">
        <v>7</v>
      </c>
      <c r="E166" s="56">
        <v>1</v>
      </c>
      <c r="F166" s="56">
        <f>ROUND(K166*(1-$K$9),2)</f>
        <v>3192.44</v>
      </c>
      <c r="G166" s="56">
        <f>ROUND(F166*(IF(J166="O",(1+$E$9),IF(J166="E",(1+$E$18),(1+$E$26)))),2)</f>
        <v>4150.17</v>
      </c>
      <c r="H166" s="56">
        <f>ROUND((E166*G166),2)</f>
        <v>4150.17</v>
      </c>
      <c r="I166" s="57">
        <f t="shared" si="107"/>
        <v>8.5570515463917526E-3</v>
      </c>
      <c r="J166" s="1" t="s">
        <v>59</v>
      </c>
      <c r="K166" s="3">
        <v>3192.44</v>
      </c>
    </row>
    <row r="167" spans="1:11" s="2" customFormat="1" ht="47.25" x14ac:dyDescent="0.2">
      <c r="A167" s="52" t="s">
        <v>520</v>
      </c>
      <c r="B167" s="53">
        <v>98088</v>
      </c>
      <c r="C167" s="54" t="s">
        <v>517</v>
      </c>
      <c r="D167" s="55" t="s">
        <v>7</v>
      </c>
      <c r="E167" s="56">
        <v>1</v>
      </c>
      <c r="F167" s="56">
        <f>ROUND(K167*(1-$K$9),2)</f>
        <v>2774.38</v>
      </c>
      <c r="G167" s="56">
        <f>ROUND(F167*(IF(J167="O",(1+$E$9),IF(J167="E",(1+$E$18),(1+$E$26)))),2)</f>
        <v>3606.69</v>
      </c>
      <c r="H167" s="56">
        <f>ROUND((E167*G167),2)</f>
        <v>3606.69</v>
      </c>
      <c r="I167" s="57">
        <f t="shared" si="107"/>
        <v>7.4364742268041234E-3</v>
      </c>
      <c r="J167" s="1" t="s">
        <v>59</v>
      </c>
      <c r="K167" s="3">
        <v>2774.38</v>
      </c>
    </row>
    <row r="168" spans="1:11" s="2" customFormat="1" ht="47.25" x14ac:dyDescent="0.2">
      <c r="A168" s="52" t="s">
        <v>521</v>
      </c>
      <c r="B168" s="53">
        <v>98062</v>
      </c>
      <c r="C168" s="54" t="s">
        <v>518</v>
      </c>
      <c r="D168" s="55" t="s">
        <v>7</v>
      </c>
      <c r="E168" s="56">
        <v>1</v>
      </c>
      <c r="F168" s="56">
        <f>ROUND(K168*(1-$K$9),2)</f>
        <v>2989.1</v>
      </c>
      <c r="G168" s="56">
        <f>ROUND(F168*(IF(J168="O",(1+$E$9),IF(J168="E",(1+$E$18),(1+$E$26)))),2)</f>
        <v>3885.83</v>
      </c>
      <c r="H168" s="56">
        <f>ROUND((E168*G168),2)</f>
        <v>3885.83</v>
      </c>
      <c r="I168" s="57">
        <f t="shared" si="107"/>
        <v>8.0120206185567006E-3</v>
      </c>
      <c r="J168" s="1" t="s">
        <v>59</v>
      </c>
      <c r="K168" s="3">
        <v>2989.1</v>
      </c>
    </row>
    <row r="169" spans="1:11" s="2" customFormat="1" x14ac:dyDescent="0.2">
      <c r="A169" s="96"/>
      <c r="B169" s="97"/>
      <c r="C169" s="46" t="s">
        <v>9</v>
      </c>
      <c r="D169" s="59"/>
      <c r="E169" s="60"/>
      <c r="F169" s="61"/>
      <c r="G169" s="62"/>
      <c r="H169" s="63">
        <f>ROUND(SUM(H160:H167),2)</f>
        <v>15804.66</v>
      </c>
      <c r="I169" s="76">
        <f t="shared" si="107"/>
        <v>3.2586927835051543E-2</v>
      </c>
      <c r="J169" s="65"/>
      <c r="K169" s="66"/>
    </row>
    <row r="170" spans="1:11" s="2" customFormat="1" ht="9.9499999999999993" customHeight="1" x14ac:dyDescent="0.2">
      <c r="A170" s="98"/>
      <c r="B170" s="81"/>
      <c r="C170" s="99"/>
      <c r="D170" s="100"/>
      <c r="E170" s="94"/>
      <c r="F170" s="94"/>
      <c r="G170" s="94"/>
      <c r="H170" s="94"/>
      <c r="I170" s="101"/>
      <c r="J170" s="71"/>
      <c r="K170" s="51"/>
    </row>
    <row r="171" spans="1:11" s="2" customFormat="1" x14ac:dyDescent="0.2">
      <c r="A171" s="43" t="s">
        <v>440</v>
      </c>
      <c r="B171" s="90"/>
      <c r="C171" s="46" t="s">
        <v>83</v>
      </c>
      <c r="D171" s="59"/>
      <c r="E171" s="60"/>
      <c r="F171" s="61"/>
      <c r="G171" s="88"/>
      <c r="H171" s="49"/>
      <c r="I171" s="50"/>
      <c r="J171" s="73"/>
      <c r="K171" s="74"/>
    </row>
    <row r="172" spans="1:11" s="2" customFormat="1" ht="63" x14ac:dyDescent="0.2">
      <c r="A172" s="52" t="s">
        <v>463</v>
      </c>
      <c r="B172" s="53" t="s">
        <v>217</v>
      </c>
      <c r="C172" s="54" t="s">
        <v>218</v>
      </c>
      <c r="D172" s="55" t="s">
        <v>7</v>
      </c>
      <c r="E172" s="56">
        <v>4</v>
      </c>
      <c r="F172" s="56">
        <f t="shared" ref="F172:F178" si="115">ROUND(K172*(1-$K$9),2)</f>
        <v>122.26</v>
      </c>
      <c r="G172" s="56">
        <f t="shared" ref="G172:G178" si="116">ROUND(F172*(IF(J172="O",(1+$E$9),IF(J172="E",(1+$E$18),(1+$E$26)))),2)</f>
        <v>158.94</v>
      </c>
      <c r="H172" s="56">
        <f t="shared" ref="H172:H178" si="117">ROUND((E172*G172),2)</f>
        <v>635.76</v>
      </c>
      <c r="I172" s="57">
        <f t="shared" ref="I172:I179" si="118">H172/$H$256</f>
        <v>1.3108453608247422E-3</v>
      </c>
      <c r="J172" s="1" t="s">
        <v>59</v>
      </c>
      <c r="K172" s="3">
        <v>122.26</v>
      </c>
    </row>
    <row r="173" spans="1:11" s="2" customFormat="1" ht="63" x14ac:dyDescent="0.2">
      <c r="A173" s="52" t="s">
        <v>464</v>
      </c>
      <c r="B173" s="53" t="s">
        <v>219</v>
      </c>
      <c r="C173" s="54" t="s">
        <v>220</v>
      </c>
      <c r="D173" s="55" t="s">
        <v>7</v>
      </c>
      <c r="E173" s="56">
        <v>4</v>
      </c>
      <c r="F173" s="56">
        <f t="shared" si="115"/>
        <v>76.760000000000005</v>
      </c>
      <c r="G173" s="56">
        <f t="shared" si="116"/>
        <v>99.79</v>
      </c>
      <c r="H173" s="56">
        <f t="shared" si="117"/>
        <v>399.16</v>
      </c>
      <c r="I173" s="57">
        <f t="shared" si="118"/>
        <v>8.2301030927835054E-4</v>
      </c>
      <c r="J173" s="1" t="s">
        <v>59</v>
      </c>
      <c r="K173" s="3">
        <v>76.760000000000005</v>
      </c>
    </row>
    <row r="174" spans="1:11" s="2" customFormat="1" ht="47.25" x14ac:dyDescent="0.2">
      <c r="A174" s="52" t="s">
        <v>465</v>
      </c>
      <c r="B174" s="53" t="s">
        <v>221</v>
      </c>
      <c r="C174" s="54" t="s">
        <v>222</v>
      </c>
      <c r="D174" s="55" t="s">
        <v>7</v>
      </c>
      <c r="E174" s="56">
        <v>2</v>
      </c>
      <c r="F174" s="56">
        <f t="shared" si="115"/>
        <v>62.18</v>
      </c>
      <c r="G174" s="56">
        <f t="shared" si="116"/>
        <v>80.83</v>
      </c>
      <c r="H174" s="56">
        <f t="shared" si="117"/>
        <v>161.66</v>
      </c>
      <c r="I174" s="57">
        <f t="shared" si="118"/>
        <v>3.3331958762886597E-4</v>
      </c>
      <c r="J174" s="1" t="s">
        <v>59</v>
      </c>
      <c r="K174" s="3">
        <v>62.18</v>
      </c>
    </row>
    <row r="175" spans="1:11" s="2" customFormat="1" ht="47.25" x14ac:dyDescent="0.2">
      <c r="A175" s="52" t="s">
        <v>466</v>
      </c>
      <c r="B175" s="53" t="s">
        <v>223</v>
      </c>
      <c r="C175" s="54" t="s">
        <v>224</v>
      </c>
      <c r="D175" s="55" t="s">
        <v>7</v>
      </c>
      <c r="E175" s="56">
        <v>2</v>
      </c>
      <c r="F175" s="56">
        <f t="shared" si="115"/>
        <v>78.47</v>
      </c>
      <c r="G175" s="56">
        <f t="shared" si="116"/>
        <v>102.01</v>
      </c>
      <c r="H175" s="56">
        <f t="shared" si="117"/>
        <v>204.02</v>
      </c>
      <c r="I175" s="57">
        <f t="shared" si="118"/>
        <v>4.2065979381443301E-4</v>
      </c>
      <c r="J175" s="1" t="s">
        <v>59</v>
      </c>
      <c r="K175" s="3">
        <v>78.47</v>
      </c>
    </row>
    <row r="176" spans="1:11" s="2" customFormat="1" ht="47.25" x14ac:dyDescent="0.2">
      <c r="A176" s="52" t="s">
        <v>467</v>
      </c>
      <c r="B176" s="53" t="s">
        <v>225</v>
      </c>
      <c r="C176" s="54" t="s">
        <v>226</v>
      </c>
      <c r="D176" s="55" t="s">
        <v>7</v>
      </c>
      <c r="E176" s="56">
        <v>1</v>
      </c>
      <c r="F176" s="56">
        <f t="shared" si="115"/>
        <v>30.27</v>
      </c>
      <c r="G176" s="56">
        <f t="shared" si="116"/>
        <v>39.35</v>
      </c>
      <c r="H176" s="56">
        <f t="shared" si="117"/>
        <v>39.35</v>
      </c>
      <c r="I176" s="57">
        <f t="shared" si="118"/>
        <v>8.1134020618556707E-5</v>
      </c>
      <c r="J176" s="1" t="s">
        <v>59</v>
      </c>
      <c r="K176" s="3">
        <v>30.27</v>
      </c>
    </row>
    <row r="177" spans="1:11" s="2" customFormat="1" ht="63" x14ac:dyDescent="0.2">
      <c r="A177" s="52" t="s">
        <v>468</v>
      </c>
      <c r="B177" s="53" t="s">
        <v>227</v>
      </c>
      <c r="C177" s="54" t="s">
        <v>228</v>
      </c>
      <c r="D177" s="55" t="s">
        <v>7</v>
      </c>
      <c r="E177" s="56">
        <v>3</v>
      </c>
      <c r="F177" s="56">
        <f t="shared" si="115"/>
        <v>74.94</v>
      </c>
      <c r="G177" s="56">
        <f t="shared" si="116"/>
        <v>97.42</v>
      </c>
      <c r="H177" s="56">
        <f t="shared" si="117"/>
        <v>292.26</v>
      </c>
      <c r="I177" s="57">
        <f t="shared" si="118"/>
        <v>6.0259793814432987E-4</v>
      </c>
      <c r="J177" s="1" t="s">
        <v>59</v>
      </c>
      <c r="K177" s="3">
        <v>74.94</v>
      </c>
    </row>
    <row r="178" spans="1:11" s="2" customFormat="1" ht="47.25" x14ac:dyDescent="0.2">
      <c r="A178" s="52" t="s">
        <v>469</v>
      </c>
      <c r="B178" s="53">
        <v>99635</v>
      </c>
      <c r="C178" s="54" t="s">
        <v>363</v>
      </c>
      <c r="D178" s="55" t="s">
        <v>7</v>
      </c>
      <c r="E178" s="56">
        <v>3</v>
      </c>
      <c r="F178" s="56">
        <f t="shared" si="115"/>
        <v>275.04000000000002</v>
      </c>
      <c r="G178" s="56">
        <f t="shared" si="116"/>
        <v>357.55</v>
      </c>
      <c r="H178" s="56">
        <f t="shared" si="117"/>
        <v>1072.6500000000001</v>
      </c>
      <c r="I178" s="57">
        <f t="shared" si="118"/>
        <v>2.2116494845360827E-3</v>
      </c>
      <c r="J178" s="1" t="s">
        <v>59</v>
      </c>
      <c r="K178" s="3">
        <v>275.04000000000002</v>
      </c>
    </row>
    <row r="179" spans="1:11" x14ac:dyDescent="0.2">
      <c r="A179" s="58"/>
      <c r="B179" s="59"/>
      <c r="C179" s="46" t="s">
        <v>9</v>
      </c>
      <c r="D179" s="59"/>
      <c r="E179" s="60"/>
      <c r="F179" s="61"/>
      <c r="G179" s="62"/>
      <c r="H179" s="63">
        <f>ROUND(SUM(H172:H178),2)</f>
        <v>2804.86</v>
      </c>
      <c r="I179" s="76">
        <f t="shared" si="118"/>
        <v>5.7832164948453607E-3</v>
      </c>
      <c r="J179" s="65"/>
      <c r="K179" s="66"/>
    </row>
    <row r="180" spans="1:11" ht="9.9499999999999993" customHeight="1" x14ac:dyDescent="0.2">
      <c r="A180" s="92"/>
      <c r="B180" s="83"/>
      <c r="C180" s="82"/>
      <c r="D180" s="83"/>
      <c r="E180" s="93"/>
      <c r="F180" s="84"/>
      <c r="G180" s="85"/>
      <c r="H180" s="84"/>
      <c r="I180" s="95"/>
      <c r="J180" s="71"/>
      <c r="K180" s="51"/>
    </row>
    <row r="181" spans="1:11" s="91" customFormat="1" x14ac:dyDescent="0.2">
      <c r="A181" s="43" t="s">
        <v>441</v>
      </c>
      <c r="B181" s="90"/>
      <c r="C181" s="46" t="s">
        <v>84</v>
      </c>
      <c r="D181" s="59"/>
      <c r="E181" s="60"/>
      <c r="F181" s="61"/>
      <c r="G181" s="88"/>
      <c r="H181" s="49"/>
      <c r="I181" s="50"/>
      <c r="J181" s="73"/>
      <c r="K181" s="74"/>
    </row>
    <row r="182" spans="1:11" s="2" customFormat="1" ht="94.5" x14ac:dyDescent="0.2">
      <c r="A182" s="52" t="s">
        <v>470</v>
      </c>
      <c r="B182" s="53" t="s">
        <v>257</v>
      </c>
      <c r="C182" s="54" t="s">
        <v>258</v>
      </c>
      <c r="D182" s="55" t="s">
        <v>7</v>
      </c>
      <c r="E182" s="56">
        <v>4</v>
      </c>
      <c r="F182" s="56">
        <f t="shared" ref="F182:F194" si="119">ROUND(K182*(1-$K$9),2)</f>
        <v>376.21</v>
      </c>
      <c r="G182" s="56">
        <f t="shared" ref="G182:G194" si="120">ROUND(F182*(IF(J182="O",(1+$E$9),IF(J182="E",(1+$E$18),(1+$E$26)))),2)</f>
        <v>489.07</v>
      </c>
      <c r="H182" s="56">
        <f t="shared" ref="H182:H194" si="121">ROUND((E182*G182),2)</f>
        <v>1956.28</v>
      </c>
      <c r="I182" s="57">
        <f t="shared" ref="I182:I200" si="122">H182/$H$256</f>
        <v>4.0335670103092787E-3</v>
      </c>
      <c r="J182" s="1" t="s">
        <v>59</v>
      </c>
      <c r="K182" s="3">
        <v>376.21</v>
      </c>
    </row>
    <row r="183" spans="1:11" s="2" customFormat="1" ht="63" x14ac:dyDescent="0.2">
      <c r="A183" s="52" t="s">
        <v>471</v>
      </c>
      <c r="B183" s="53" t="s">
        <v>259</v>
      </c>
      <c r="C183" s="54" t="s">
        <v>260</v>
      </c>
      <c r="D183" s="55" t="s">
        <v>7</v>
      </c>
      <c r="E183" s="56">
        <v>4</v>
      </c>
      <c r="F183" s="56">
        <f t="shared" si="119"/>
        <v>293.12</v>
      </c>
      <c r="G183" s="56">
        <f t="shared" si="120"/>
        <v>381.06</v>
      </c>
      <c r="H183" s="56">
        <f t="shared" si="121"/>
        <v>1524.24</v>
      </c>
      <c r="I183" s="57">
        <f t="shared" si="122"/>
        <v>3.1427628865979382E-3</v>
      </c>
      <c r="J183" s="1" t="s">
        <v>59</v>
      </c>
      <c r="K183" s="3">
        <v>293.12</v>
      </c>
    </row>
    <row r="184" spans="1:11" s="2" customFormat="1" ht="63" x14ac:dyDescent="0.2">
      <c r="A184" s="52" t="s">
        <v>472</v>
      </c>
      <c r="B184" s="53" t="s">
        <v>261</v>
      </c>
      <c r="C184" s="54" t="s">
        <v>262</v>
      </c>
      <c r="D184" s="55" t="s">
        <v>7</v>
      </c>
      <c r="E184" s="56">
        <v>3</v>
      </c>
      <c r="F184" s="56">
        <f t="shared" si="119"/>
        <v>383.25</v>
      </c>
      <c r="G184" s="56">
        <f t="shared" si="120"/>
        <v>498.23</v>
      </c>
      <c r="H184" s="56">
        <f t="shared" si="121"/>
        <v>1494.69</v>
      </c>
      <c r="I184" s="57">
        <f t="shared" si="122"/>
        <v>3.0818350515463919E-3</v>
      </c>
      <c r="J184" s="1" t="s">
        <v>59</v>
      </c>
      <c r="K184" s="3">
        <v>383.25</v>
      </c>
    </row>
    <row r="185" spans="1:11" s="2" customFormat="1" ht="63" x14ac:dyDescent="0.2">
      <c r="A185" s="52" t="s">
        <v>473</v>
      </c>
      <c r="B185" s="53" t="s">
        <v>263</v>
      </c>
      <c r="C185" s="54" t="s">
        <v>264</v>
      </c>
      <c r="D185" s="55" t="s">
        <v>7</v>
      </c>
      <c r="E185" s="56">
        <v>4</v>
      </c>
      <c r="F185" s="56">
        <f t="shared" si="119"/>
        <v>118.11</v>
      </c>
      <c r="G185" s="56">
        <f t="shared" si="120"/>
        <v>153.54</v>
      </c>
      <c r="H185" s="56">
        <f t="shared" si="121"/>
        <v>614.16</v>
      </c>
      <c r="I185" s="57">
        <f t="shared" si="122"/>
        <v>1.2663092783505153E-3</v>
      </c>
      <c r="J185" s="1" t="s">
        <v>59</v>
      </c>
      <c r="K185" s="3">
        <v>118.11</v>
      </c>
    </row>
    <row r="186" spans="1:11" s="2" customFormat="1" ht="63" x14ac:dyDescent="0.2">
      <c r="A186" s="52" t="s">
        <v>474</v>
      </c>
      <c r="B186" s="53" t="s">
        <v>265</v>
      </c>
      <c r="C186" s="54" t="s">
        <v>266</v>
      </c>
      <c r="D186" s="55" t="s">
        <v>7</v>
      </c>
      <c r="E186" s="56">
        <v>6</v>
      </c>
      <c r="F186" s="56">
        <f t="shared" si="119"/>
        <v>146.85</v>
      </c>
      <c r="G186" s="56">
        <f t="shared" si="120"/>
        <v>190.91</v>
      </c>
      <c r="H186" s="56">
        <f t="shared" si="121"/>
        <v>1145.46</v>
      </c>
      <c r="I186" s="57">
        <f t="shared" si="122"/>
        <v>2.3617731958762889E-3</v>
      </c>
      <c r="J186" s="1" t="s">
        <v>59</v>
      </c>
      <c r="K186" s="3">
        <v>146.85</v>
      </c>
    </row>
    <row r="187" spans="1:11" s="2" customFormat="1" ht="47.25" x14ac:dyDescent="0.2">
      <c r="A187" s="52" t="s">
        <v>475</v>
      </c>
      <c r="B187" s="53" t="s">
        <v>267</v>
      </c>
      <c r="C187" s="54" t="s">
        <v>268</v>
      </c>
      <c r="D187" s="55" t="s">
        <v>7</v>
      </c>
      <c r="E187" s="56">
        <v>3</v>
      </c>
      <c r="F187" s="56">
        <f t="shared" si="119"/>
        <v>71.239999999999995</v>
      </c>
      <c r="G187" s="56">
        <f t="shared" si="120"/>
        <v>92.61</v>
      </c>
      <c r="H187" s="56">
        <f t="shared" si="121"/>
        <v>277.83</v>
      </c>
      <c r="I187" s="57">
        <f t="shared" si="122"/>
        <v>5.7284536082474226E-4</v>
      </c>
      <c r="J187" s="1" t="s">
        <v>59</v>
      </c>
      <c r="K187" s="3">
        <v>71.239999999999995</v>
      </c>
    </row>
    <row r="188" spans="1:11" s="2" customFormat="1" ht="63" x14ac:dyDescent="0.2">
      <c r="A188" s="52" t="s">
        <v>476</v>
      </c>
      <c r="B188" s="53" t="s">
        <v>269</v>
      </c>
      <c r="C188" s="54" t="s">
        <v>270</v>
      </c>
      <c r="D188" s="55" t="s">
        <v>7</v>
      </c>
      <c r="E188" s="56">
        <v>2</v>
      </c>
      <c r="F188" s="56">
        <f t="shared" si="119"/>
        <v>212.87</v>
      </c>
      <c r="G188" s="56">
        <f t="shared" si="120"/>
        <v>276.73</v>
      </c>
      <c r="H188" s="56">
        <f t="shared" si="121"/>
        <v>553.46</v>
      </c>
      <c r="I188" s="57">
        <f t="shared" si="122"/>
        <v>1.1411546391752578E-3</v>
      </c>
      <c r="J188" s="1" t="s">
        <v>59</v>
      </c>
      <c r="K188" s="3">
        <v>212.87</v>
      </c>
    </row>
    <row r="189" spans="1:11" s="2" customFormat="1" ht="78.75" x14ac:dyDescent="0.2">
      <c r="A189" s="52" t="s">
        <v>477</v>
      </c>
      <c r="B189" s="53" t="s">
        <v>271</v>
      </c>
      <c r="C189" s="54" t="s">
        <v>272</v>
      </c>
      <c r="D189" s="55" t="s">
        <v>7</v>
      </c>
      <c r="E189" s="56">
        <v>1</v>
      </c>
      <c r="F189" s="56">
        <f t="shared" si="119"/>
        <v>354.96</v>
      </c>
      <c r="G189" s="56">
        <f t="shared" si="120"/>
        <v>461.45</v>
      </c>
      <c r="H189" s="56">
        <f t="shared" si="121"/>
        <v>461.45</v>
      </c>
      <c r="I189" s="57">
        <f t="shared" si="122"/>
        <v>9.5144329896907211E-4</v>
      </c>
      <c r="J189" s="1" t="s">
        <v>59</v>
      </c>
      <c r="K189" s="3">
        <v>354.96</v>
      </c>
    </row>
    <row r="190" spans="1:11" s="2" customFormat="1" ht="47.25" x14ac:dyDescent="0.2">
      <c r="A190" s="52" t="s">
        <v>478</v>
      </c>
      <c r="B190" s="53" t="s">
        <v>273</v>
      </c>
      <c r="C190" s="54" t="s">
        <v>274</v>
      </c>
      <c r="D190" s="55" t="s">
        <v>7</v>
      </c>
      <c r="E190" s="56">
        <v>2</v>
      </c>
      <c r="F190" s="56">
        <f t="shared" si="119"/>
        <v>146.94999999999999</v>
      </c>
      <c r="G190" s="56">
        <f t="shared" si="120"/>
        <v>191.04</v>
      </c>
      <c r="H190" s="56">
        <f t="shared" si="121"/>
        <v>382.08</v>
      </c>
      <c r="I190" s="57">
        <f t="shared" si="122"/>
        <v>7.8779381443298965E-4</v>
      </c>
      <c r="J190" s="1" t="s">
        <v>59</v>
      </c>
      <c r="K190" s="3">
        <v>146.94999999999999</v>
      </c>
    </row>
    <row r="191" spans="1:11" s="2" customFormat="1" ht="31.5" x14ac:dyDescent="0.2">
      <c r="A191" s="52" t="s">
        <v>479</v>
      </c>
      <c r="B191" s="53" t="s">
        <v>275</v>
      </c>
      <c r="C191" s="54" t="s">
        <v>276</v>
      </c>
      <c r="D191" s="55" t="s">
        <v>7</v>
      </c>
      <c r="E191" s="56">
        <v>3</v>
      </c>
      <c r="F191" s="56">
        <f t="shared" si="119"/>
        <v>19.440000000000001</v>
      </c>
      <c r="G191" s="56">
        <f t="shared" si="120"/>
        <v>25.27</v>
      </c>
      <c r="H191" s="56">
        <f t="shared" si="121"/>
        <v>75.81</v>
      </c>
      <c r="I191" s="57">
        <f t="shared" si="122"/>
        <v>1.5630927835051547E-4</v>
      </c>
      <c r="J191" s="1" t="s">
        <v>59</v>
      </c>
      <c r="K191" s="3">
        <v>19.440000000000001</v>
      </c>
    </row>
    <row r="192" spans="1:11" s="2" customFormat="1" x14ac:dyDescent="0.2">
      <c r="A192" s="52" t="s">
        <v>480</v>
      </c>
      <c r="B192" s="53" t="s">
        <v>277</v>
      </c>
      <c r="C192" s="54" t="s">
        <v>278</v>
      </c>
      <c r="D192" s="55" t="s">
        <v>7</v>
      </c>
      <c r="E192" s="56">
        <v>3</v>
      </c>
      <c r="F192" s="56">
        <f t="shared" si="119"/>
        <v>229.64</v>
      </c>
      <c r="G192" s="56">
        <f t="shared" si="120"/>
        <v>298.52999999999997</v>
      </c>
      <c r="H192" s="56">
        <f t="shared" si="121"/>
        <v>895.59</v>
      </c>
      <c r="I192" s="57">
        <f t="shared" si="122"/>
        <v>1.846577319587629E-3</v>
      </c>
      <c r="J192" s="1" t="s">
        <v>59</v>
      </c>
      <c r="K192" s="3">
        <v>229.64</v>
      </c>
    </row>
    <row r="193" spans="1:12" s="2" customFormat="1" x14ac:dyDescent="0.2">
      <c r="A193" s="52" t="s">
        <v>481</v>
      </c>
      <c r="B193" s="53" t="s">
        <v>279</v>
      </c>
      <c r="C193" s="54" t="s">
        <v>26</v>
      </c>
      <c r="D193" s="55" t="s">
        <v>7</v>
      </c>
      <c r="E193" s="56">
        <v>3</v>
      </c>
      <c r="F193" s="56">
        <f t="shared" si="119"/>
        <v>42.22</v>
      </c>
      <c r="G193" s="56">
        <f t="shared" si="120"/>
        <v>54.89</v>
      </c>
      <c r="H193" s="56">
        <f t="shared" si="121"/>
        <v>164.67</v>
      </c>
      <c r="I193" s="57">
        <f t="shared" si="122"/>
        <v>3.3952577319587627E-4</v>
      </c>
      <c r="J193" s="1" t="s">
        <v>59</v>
      </c>
      <c r="K193" s="3">
        <v>42.22</v>
      </c>
    </row>
    <row r="194" spans="1:12" s="2" customFormat="1" x14ac:dyDescent="0.2">
      <c r="A194" s="52" t="s">
        <v>482</v>
      </c>
      <c r="B194" s="53" t="s">
        <v>280</v>
      </c>
      <c r="C194" s="54" t="s">
        <v>36</v>
      </c>
      <c r="D194" s="55" t="s">
        <v>7</v>
      </c>
      <c r="E194" s="56">
        <v>4</v>
      </c>
      <c r="F194" s="56">
        <f t="shared" si="119"/>
        <v>34.76</v>
      </c>
      <c r="G194" s="56">
        <f t="shared" si="120"/>
        <v>45.19</v>
      </c>
      <c r="H194" s="56">
        <f t="shared" si="121"/>
        <v>180.76</v>
      </c>
      <c r="I194" s="57">
        <f t="shared" si="122"/>
        <v>3.7270103092783502E-4</v>
      </c>
      <c r="J194" s="1" t="s">
        <v>59</v>
      </c>
      <c r="K194" s="3">
        <v>34.76</v>
      </c>
    </row>
    <row r="195" spans="1:12" s="2" customFormat="1" ht="31.5" x14ac:dyDescent="0.2">
      <c r="A195" s="52" t="s">
        <v>483</v>
      </c>
      <c r="B195" s="53" t="s">
        <v>281</v>
      </c>
      <c r="C195" s="54" t="s">
        <v>282</v>
      </c>
      <c r="D195" s="55" t="s">
        <v>7</v>
      </c>
      <c r="E195" s="56">
        <v>3</v>
      </c>
      <c r="F195" s="56">
        <f t="shared" ref="F195:F199" si="123">ROUND(K195*(1-$K$9),2)</f>
        <v>57.68</v>
      </c>
      <c r="G195" s="56">
        <f t="shared" ref="G195:G199" si="124">ROUND(F195*(IF(J195="O",(1+$E$9),IF(J195="E",(1+$E$18),(1+$E$26)))),2)</f>
        <v>74.98</v>
      </c>
      <c r="H195" s="56">
        <f t="shared" ref="H195:H199" si="125">ROUND((E195*G195),2)</f>
        <v>224.94</v>
      </c>
      <c r="I195" s="57">
        <f t="shared" si="122"/>
        <v>4.6379381443298969E-4</v>
      </c>
      <c r="J195" s="1" t="s">
        <v>59</v>
      </c>
      <c r="K195" s="3">
        <v>57.68</v>
      </c>
    </row>
    <row r="196" spans="1:12" s="2" customFormat="1" x14ac:dyDescent="0.2">
      <c r="A196" s="52" t="s">
        <v>484</v>
      </c>
      <c r="B196" s="53" t="s">
        <v>283</v>
      </c>
      <c r="C196" s="54" t="s">
        <v>27</v>
      </c>
      <c r="D196" s="55" t="s">
        <v>7</v>
      </c>
      <c r="E196" s="56">
        <v>3</v>
      </c>
      <c r="F196" s="56">
        <f t="shared" si="123"/>
        <v>50.83</v>
      </c>
      <c r="G196" s="56">
        <f t="shared" si="124"/>
        <v>66.08</v>
      </c>
      <c r="H196" s="56">
        <f t="shared" si="125"/>
        <v>198.24</v>
      </c>
      <c r="I196" s="57">
        <f t="shared" si="122"/>
        <v>4.0874226804123713E-4</v>
      </c>
      <c r="J196" s="1" t="s">
        <v>59</v>
      </c>
      <c r="K196" s="3">
        <v>50.83</v>
      </c>
    </row>
    <row r="197" spans="1:12" s="2" customFormat="1" ht="31.5" x14ac:dyDescent="0.2">
      <c r="A197" s="52" t="s">
        <v>485</v>
      </c>
      <c r="B197" s="53" t="s">
        <v>284</v>
      </c>
      <c r="C197" s="54" t="s">
        <v>289</v>
      </c>
      <c r="D197" s="55" t="s">
        <v>7</v>
      </c>
      <c r="E197" s="56">
        <v>3</v>
      </c>
      <c r="F197" s="56">
        <f t="shared" si="123"/>
        <v>3.84</v>
      </c>
      <c r="G197" s="56">
        <f t="shared" si="124"/>
        <v>4.99</v>
      </c>
      <c r="H197" s="56">
        <f t="shared" si="125"/>
        <v>14.97</v>
      </c>
      <c r="I197" s="57">
        <f t="shared" si="122"/>
        <v>3.0865979381443298E-5</v>
      </c>
      <c r="J197" s="1" t="s">
        <v>59</v>
      </c>
      <c r="K197" s="3">
        <v>3.84</v>
      </c>
    </row>
    <row r="198" spans="1:12" s="2" customFormat="1" x14ac:dyDescent="0.2">
      <c r="A198" s="52" t="s">
        <v>486</v>
      </c>
      <c r="B198" s="53" t="s">
        <v>285</v>
      </c>
      <c r="C198" s="54" t="s">
        <v>286</v>
      </c>
      <c r="D198" s="55" t="s">
        <v>7</v>
      </c>
      <c r="E198" s="56">
        <v>3</v>
      </c>
      <c r="F198" s="56">
        <f t="shared" si="123"/>
        <v>53.62</v>
      </c>
      <c r="G198" s="56">
        <f t="shared" si="124"/>
        <v>69.709999999999994</v>
      </c>
      <c r="H198" s="56">
        <f t="shared" si="125"/>
        <v>209.13</v>
      </c>
      <c r="I198" s="57">
        <f t="shared" si="122"/>
        <v>4.3119587628865979E-4</v>
      </c>
      <c r="J198" s="1" t="s">
        <v>59</v>
      </c>
      <c r="K198" s="3">
        <v>53.62</v>
      </c>
    </row>
    <row r="199" spans="1:12" s="2" customFormat="1" ht="31.5" x14ac:dyDescent="0.2">
      <c r="A199" s="52" t="s">
        <v>487</v>
      </c>
      <c r="B199" s="53" t="s">
        <v>287</v>
      </c>
      <c r="C199" s="54" t="s">
        <v>288</v>
      </c>
      <c r="D199" s="55" t="s">
        <v>7</v>
      </c>
      <c r="E199" s="56">
        <v>3</v>
      </c>
      <c r="F199" s="56">
        <f t="shared" si="123"/>
        <v>54.64</v>
      </c>
      <c r="G199" s="56">
        <f t="shared" si="124"/>
        <v>71.03</v>
      </c>
      <c r="H199" s="56">
        <f t="shared" si="125"/>
        <v>213.09</v>
      </c>
      <c r="I199" s="57">
        <f t="shared" si="122"/>
        <v>4.3936082474226805E-4</v>
      </c>
      <c r="J199" s="1" t="s">
        <v>59</v>
      </c>
      <c r="K199" s="3">
        <v>54.64</v>
      </c>
    </row>
    <row r="200" spans="1:12" s="2" customFormat="1" x14ac:dyDescent="0.2">
      <c r="A200" s="75"/>
      <c r="B200" s="97"/>
      <c r="C200" s="46" t="s">
        <v>9</v>
      </c>
      <c r="D200" s="59"/>
      <c r="E200" s="102"/>
      <c r="F200" s="61"/>
      <c r="G200" s="62"/>
      <c r="H200" s="63">
        <f>ROUND(SUM(H182:H199),2)</f>
        <v>10586.85</v>
      </c>
      <c r="I200" s="76">
        <f t="shared" si="122"/>
        <v>2.182855670103093E-2</v>
      </c>
      <c r="J200" s="65"/>
      <c r="K200" s="66"/>
    </row>
    <row r="201" spans="1:12" s="2" customFormat="1" ht="9.9499999999999993" customHeight="1" x14ac:dyDescent="0.2">
      <c r="A201" s="80"/>
      <c r="B201" s="81"/>
      <c r="C201" s="82"/>
      <c r="D201" s="83"/>
      <c r="E201" s="74"/>
      <c r="F201" s="84"/>
      <c r="G201" s="85"/>
      <c r="H201" s="84"/>
      <c r="I201" s="86"/>
      <c r="J201" s="71"/>
      <c r="K201" s="51"/>
    </row>
    <row r="202" spans="1:12" s="2" customFormat="1" x14ac:dyDescent="0.2">
      <c r="A202" s="58"/>
      <c r="B202" s="59"/>
      <c r="C202" s="46" t="s">
        <v>314</v>
      </c>
      <c r="D202" s="59"/>
      <c r="E202" s="60"/>
      <c r="F202" s="61"/>
      <c r="G202" s="62"/>
      <c r="H202" s="63">
        <f>ROUND(H153+H157+H169+H179+H200,2)</f>
        <v>39541.42</v>
      </c>
      <c r="I202" s="76">
        <f>H202/$H$256</f>
        <v>8.1528701030927825E-2</v>
      </c>
      <c r="J202" s="103"/>
      <c r="K202" s="51"/>
    </row>
    <row r="203" spans="1:12" s="77" customFormat="1" ht="9.9499999999999993" customHeight="1" x14ac:dyDescent="0.2">
      <c r="A203" s="67"/>
      <c r="B203" s="68"/>
      <c r="C203" s="68"/>
      <c r="D203" s="68"/>
      <c r="E203" s="69"/>
      <c r="F203" s="69"/>
      <c r="G203" s="69"/>
      <c r="H203" s="69"/>
      <c r="I203" s="70"/>
      <c r="J203" s="71"/>
      <c r="K203" s="51"/>
      <c r="L203" s="2"/>
    </row>
    <row r="204" spans="1:12" s="77" customFormat="1" x14ac:dyDescent="0.2">
      <c r="A204" s="43">
        <v>13</v>
      </c>
      <c r="B204" s="72"/>
      <c r="C204" s="46" t="s">
        <v>22</v>
      </c>
      <c r="D204" s="47"/>
      <c r="E204" s="48"/>
      <c r="F204" s="49"/>
      <c r="G204" s="48"/>
      <c r="H204" s="49"/>
      <c r="I204" s="50"/>
      <c r="J204" s="73"/>
      <c r="K204" s="74"/>
      <c r="L204" s="2"/>
    </row>
    <row r="205" spans="1:12" s="2" customFormat="1" ht="47.25" x14ac:dyDescent="0.2">
      <c r="A205" s="52" t="s">
        <v>411</v>
      </c>
      <c r="B205" s="53">
        <v>91924</v>
      </c>
      <c r="C205" s="54" t="s">
        <v>362</v>
      </c>
      <c r="D205" s="55" t="s">
        <v>14</v>
      </c>
      <c r="E205" s="56">
        <v>200</v>
      </c>
      <c r="F205" s="56">
        <f t="shared" ref="F205" si="126">ROUND(K205*(1-$K$9),2)</f>
        <v>2.4900000000000002</v>
      </c>
      <c r="G205" s="56">
        <f t="shared" ref="G205" si="127">ROUND(F205*(IF(J205="O",(1+$E$9),IF(J205="E",(1+$E$18),(1+$E$26)))),2)</f>
        <v>3.24</v>
      </c>
      <c r="H205" s="56">
        <f t="shared" ref="H205" si="128">ROUND((E205*G205),2)</f>
        <v>648</v>
      </c>
      <c r="I205" s="57">
        <f t="shared" ref="I205:I233" si="129">H205/$H$256</f>
        <v>1.336082474226804E-3</v>
      </c>
      <c r="J205" s="1" t="s">
        <v>59</v>
      </c>
      <c r="K205" s="3">
        <v>2.4900000000000002</v>
      </c>
    </row>
    <row r="206" spans="1:12" s="2" customFormat="1" ht="47.25" x14ac:dyDescent="0.2">
      <c r="A206" s="52" t="s">
        <v>412</v>
      </c>
      <c r="B206" s="53">
        <v>91926</v>
      </c>
      <c r="C206" s="54" t="s">
        <v>361</v>
      </c>
      <c r="D206" s="55" t="s">
        <v>14</v>
      </c>
      <c r="E206" s="56">
        <v>762.01</v>
      </c>
      <c r="F206" s="56">
        <f t="shared" ref="F206:F211" si="130">ROUND(K206*(1-$K$9),2)</f>
        <v>3.63</v>
      </c>
      <c r="G206" s="56">
        <f t="shared" ref="G206:G211" si="131">ROUND(F206*(IF(J206="O",(1+$E$9),IF(J206="E",(1+$E$18),(1+$E$26)))),2)</f>
        <v>4.72</v>
      </c>
      <c r="H206" s="56">
        <f t="shared" ref="H206:H211" si="132">ROUND((E206*G206),2)</f>
        <v>3596.69</v>
      </c>
      <c r="I206" s="57">
        <f t="shared" si="129"/>
        <v>7.4158556701030926E-3</v>
      </c>
      <c r="J206" s="1" t="s">
        <v>59</v>
      </c>
      <c r="K206" s="3">
        <v>3.63</v>
      </c>
    </row>
    <row r="207" spans="1:12" s="2" customFormat="1" ht="47.25" x14ac:dyDescent="0.2">
      <c r="A207" s="52" t="s">
        <v>413</v>
      </c>
      <c r="B207" s="53">
        <v>91928</v>
      </c>
      <c r="C207" s="54" t="s">
        <v>504</v>
      </c>
      <c r="D207" s="55" t="s">
        <v>14</v>
      </c>
      <c r="E207" s="56">
        <v>152</v>
      </c>
      <c r="F207" s="56">
        <f t="shared" si="130"/>
        <v>5.94</v>
      </c>
      <c r="G207" s="56">
        <f t="shared" si="131"/>
        <v>7.72</v>
      </c>
      <c r="H207" s="56">
        <f t="shared" si="132"/>
        <v>1173.44</v>
      </c>
      <c r="I207" s="57">
        <f t="shared" si="129"/>
        <v>2.4194639175257734E-3</v>
      </c>
      <c r="J207" s="1" t="s">
        <v>59</v>
      </c>
      <c r="K207" s="3">
        <v>5.94</v>
      </c>
    </row>
    <row r="208" spans="1:12" s="2" customFormat="1" ht="47.25" x14ac:dyDescent="0.2">
      <c r="A208" s="52" t="s">
        <v>414</v>
      </c>
      <c r="B208" s="53">
        <v>91930</v>
      </c>
      <c r="C208" s="54" t="s">
        <v>360</v>
      </c>
      <c r="D208" s="55" t="s">
        <v>14</v>
      </c>
      <c r="E208" s="56">
        <v>128</v>
      </c>
      <c r="F208" s="56">
        <f t="shared" ref="F208" si="133">ROUND(K208*(1-$K$9),2)</f>
        <v>8.1199999999999992</v>
      </c>
      <c r="G208" s="56">
        <f t="shared" ref="G208" si="134">ROUND(F208*(IF(J208="O",(1+$E$9),IF(J208="E",(1+$E$18),(1+$E$26)))),2)</f>
        <v>10.56</v>
      </c>
      <c r="H208" s="56">
        <f t="shared" ref="H208" si="135">ROUND((E208*G208),2)</f>
        <v>1351.68</v>
      </c>
      <c r="I208" s="57">
        <f t="shared" si="129"/>
        <v>2.7869690721649487E-3</v>
      </c>
      <c r="J208" s="1" t="s">
        <v>59</v>
      </c>
      <c r="K208" s="3">
        <v>8.1199999999999992</v>
      </c>
    </row>
    <row r="209" spans="1:11" s="2" customFormat="1" ht="47.25" x14ac:dyDescent="0.2">
      <c r="A209" s="52" t="s">
        <v>415</v>
      </c>
      <c r="B209" s="53">
        <v>91934</v>
      </c>
      <c r="C209" s="54" t="s">
        <v>505</v>
      </c>
      <c r="D209" s="55" t="s">
        <v>14</v>
      </c>
      <c r="E209" s="56">
        <v>176</v>
      </c>
      <c r="F209" s="56">
        <f t="shared" si="130"/>
        <v>21.02</v>
      </c>
      <c r="G209" s="56">
        <f t="shared" si="131"/>
        <v>27.33</v>
      </c>
      <c r="H209" s="56">
        <f t="shared" si="132"/>
        <v>4810.08</v>
      </c>
      <c r="I209" s="57">
        <f t="shared" si="129"/>
        <v>9.9176907216494848E-3</v>
      </c>
      <c r="J209" s="1" t="s">
        <v>59</v>
      </c>
      <c r="K209" s="3">
        <v>21.02</v>
      </c>
    </row>
    <row r="210" spans="1:11" s="2" customFormat="1" ht="47.25" x14ac:dyDescent="0.2">
      <c r="A210" s="52" t="s">
        <v>416</v>
      </c>
      <c r="B210" s="53" t="s">
        <v>160</v>
      </c>
      <c r="C210" s="54" t="s">
        <v>161</v>
      </c>
      <c r="D210" s="55" t="s">
        <v>7</v>
      </c>
      <c r="E210" s="56">
        <v>57</v>
      </c>
      <c r="F210" s="56">
        <f t="shared" si="130"/>
        <v>8.1199999999999992</v>
      </c>
      <c r="G210" s="56">
        <f t="shared" si="131"/>
        <v>10.56</v>
      </c>
      <c r="H210" s="56">
        <f t="shared" si="132"/>
        <v>601.91999999999996</v>
      </c>
      <c r="I210" s="57">
        <f t="shared" si="129"/>
        <v>1.2410721649484535E-3</v>
      </c>
      <c r="J210" s="1" t="s">
        <v>59</v>
      </c>
      <c r="K210" s="3">
        <v>8.1199999999999992</v>
      </c>
    </row>
    <row r="211" spans="1:11" s="2" customFormat="1" ht="63" x14ac:dyDescent="0.2">
      <c r="A211" s="52" t="s">
        <v>417</v>
      </c>
      <c r="B211" s="53" t="s">
        <v>162</v>
      </c>
      <c r="C211" s="54" t="s">
        <v>294</v>
      </c>
      <c r="D211" s="55" t="s">
        <v>7</v>
      </c>
      <c r="E211" s="56">
        <v>26</v>
      </c>
      <c r="F211" s="56">
        <f t="shared" si="130"/>
        <v>9.01</v>
      </c>
      <c r="G211" s="56">
        <f t="shared" si="131"/>
        <v>11.71</v>
      </c>
      <c r="H211" s="56">
        <f t="shared" si="132"/>
        <v>304.45999999999998</v>
      </c>
      <c r="I211" s="57">
        <f t="shared" si="129"/>
        <v>6.2775257731958762E-4</v>
      </c>
      <c r="J211" s="1" t="s">
        <v>59</v>
      </c>
      <c r="K211" s="3">
        <v>9.01</v>
      </c>
    </row>
    <row r="212" spans="1:11" s="2" customFormat="1" ht="47.25" x14ac:dyDescent="0.2">
      <c r="A212" s="52" t="s">
        <v>418</v>
      </c>
      <c r="B212" s="53" t="s">
        <v>163</v>
      </c>
      <c r="C212" s="54" t="s">
        <v>164</v>
      </c>
      <c r="D212" s="55" t="s">
        <v>7</v>
      </c>
      <c r="E212" s="56">
        <v>4</v>
      </c>
      <c r="F212" s="56">
        <f t="shared" ref="F212:F215" si="136">ROUND(K212*(1-$K$9),2)</f>
        <v>136.47999999999999</v>
      </c>
      <c r="G212" s="56">
        <f t="shared" ref="G212:G215" si="137">ROUND(F212*(IF(J212="O",(1+$E$9),IF(J212="E",(1+$E$18),(1+$E$26)))),2)</f>
        <v>177.42</v>
      </c>
      <c r="H212" s="56">
        <f t="shared" ref="H212:H215" si="138">ROUND((E212*G212),2)</f>
        <v>709.68</v>
      </c>
      <c r="I212" s="57">
        <f t="shared" si="129"/>
        <v>1.4632577319587628E-3</v>
      </c>
      <c r="J212" s="1" t="s">
        <v>59</v>
      </c>
      <c r="K212" s="3">
        <v>136.47999999999999</v>
      </c>
    </row>
    <row r="213" spans="1:11" s="2" customFormat="1" x14ac:dyDescent="0.2">
      <c r="A213" s="52" t="s">
        <v>419</v>
      </c>
      <c r="B213" s="53" t="s">
        <v>165</v>
      </c>
      <c r="C213" s="54" t="s">
        <v>166</v>
      </c>
      <c r="D213" s="55" t="s">
        <v>7</v>
      </c>
      <c r="E213" s="56">
        <v>1</v>
      </c>
      <c r="F213" s="56">
        <f t="shared" si="136"/>
        <v>22.54</v>
      </c>
      <c r="G213" s="56">
        <f t="shared" si="137"/>
        <v>29.3</v>
      </c>
      <c r="H213" s="56">
        <f t="shared" si="138"/>
        <v>29.3</v>
      </c>
      <c r="I213" s="57">
        <f t="shared" si="129"/>
        <v>6.0412371134020621E-5</v>
      </c>
      <c r="J213" s="1" t="s">
        <v>59</v>
      </c>
      <c r="K213" s="3">
        <v>22.54</v>
      </c>
    </row>
    <row r="214" spans="1:11" s="2" customFormat="1" ht="63" x14ac:dyDescent="0.2">
      <c r="A214" s="52" t="s">
        <v>420</v>
      </c>
      <c r="B214" s="53" t="s">
        <v>167</v>
      </c>
      <c r="C214" s="54" t="s">
        <v>168</v>
      </c>
      <c r="D214" s="55" t="s">
        <v>7</v>
      </c>
      <c r="E214" s="56">
        <v>1</v>
      </c>
      <c r="F214" s="56">
        <f t="shared" si="136"/>
        <v>31.39</v>
      </c>
      <c r="G214" s="56">
        <f t="shared" si="137"/>
        <v>40.81</v>
      </c>
      <c r="H214" s="56">
        <f t="shared" si="138"/>
        <v>40.81</v>
      </c>
      <c r="I214" s="57">
        <f t="shared" si="129"/>
        <v>8.4144329896907222E-5</v>
      </c>
      <c r="J214" s="1" t="s">
        <v>59</v>
      </c>
      <c r="K214" s="3">
        <v>31.39</v>
      </c>
    </row>
    <row r="215" spans="1:11" s="2" customFormat="1" ht="63" x14ac:dyDescent="0.2">
      <c r="A215" s="52" t="s">
        <v>421</v>
      </c>
      <c r="B215" s="53" t="s">
        <v>169</v>
      </c>
      <c r="C215" s="54" t="s">
        <v>170</v>
      </c>
      <c r="D215" s="55" t="s">
        <v>7</v>
      </c>
      <c r="E215" s="56">
        <v>10</v>
      </c>
      <c r="F215" s="56">
        <f t="shared" si="136"/>
        <v>36.03</v>
      </c>
      <c r="G215" s="56">
        <f t="shared" si="137"/>
        <v>46.84</v>
      </c>
      <c r="H215" s="56">
        <f t="shared" si="138"/>
        <v>468.4</v>
      </c>
      <c r="I215" s="57">
        <f t="shared" si="129"/>
        <v>9.6577319587628856E-4</v>
      </c>
      <c r="J215" s="1" t="s">
        <v>59</v>
      </c>
      <c r="K215" s="3">
        <v>36.03</v>
      </c>
    </row>
    <row r="216" spans="1:11" s="2" customFormat="1" ht="94.5" x14ac:dyDescent="0.2">
      <c r="A216" s="52" t="s">
        <v>422</v>
      </c>
      <c r="B216" s="53" t="s">
        <v>171</v>
      </c>
      <c r="C216" s="54" t="s">
        <v>172</v>
      </c>
      <c r="D216" s="55" t="s">
        <v>7</v>
      </c>
      <c r="E216" s="56">
        <v>6</v>
      </c>
      <c r="F216" s="56">
        <f t="shared" ref="F216:F218" si="139">ROUND(K216*(1-$K$9),2)</f>
        <v>45.47</v>
      </c>
      <c r="G216" s="56">
        <f t="shared" ref="G216:G218" si="140">ROUND(F216*(IF(J216="O",(1+$E$9),IF(J216="E",(1+$E$18),(1+$E$26)))),2)</f>
        <v>59.11</v>
      </c>
      <c r="H216" s="56">
        <f t="shared" ref="H216:H218" si="141">ROUND((E216*G216),2)</f>
        <v>354.66</v>
      </c>
      <c r="I216" s="57">
        <f t="shared" si="129"/>
        <v>7.3125773195876294E-4</v>
      </c>
      <c r="J216" s="1" t="s">
        <v>59</v>
      </c>
      <c r="K216" s="3">
        <v>45.47</v>
      </c>
    </row>
    <row r="217" spans="1:11" s="2" customFormat="1" ht="63" x14ac:dyDescent="0.2">
      <c r="A217" s="52" t="s">
        <v>488</v>
      </c>
      <c r="B217" s="53" t="s">
        <v>173</v>
      </c>
      <c r="C217" s="54" t="s">
        <v>174</v>
      </c>
      <c r="D217" s="55" t="s">
        <v>7</v>
      </c>
      <c r="E217" s="56">
        <v>4</v>
      </c>
      <c r="F217" s="56">
        <f t="shared" si="139"/>
        <v>19.71</v>
      </c>
      <c r="G217" s="56">
        <f t="shared" si="140"/>
        <v>25.62</v>
      </c>
      <c r="H217" s="56">
        <f t="shared" si="141"/>
        <v>102.48</v>
      </c>
      <c r="I217" s="57">
        <f t="shared" si="129"/>
        <v>2.1129896907216494E-4</v>
      </c>
      <c r="J217" s="1" t="s">
        <v>59</v>
      </c>
      <c r="K217" s="3">
        <v>19.71</v>
      </c>
    </row>
    <row r="218" spans="1:11" s="2" customFormat="1" ht="47.25" x14ac:dyDescent="0.2">
      <c r="A218" s="52" t="s">
        <v>489</v>
      </c>
      <c r="B218" s="53" t="s">
        <v>175</v>
      </c>
      <c r="C218" s="54" t="s">
        <v>176</v>
      </c>
      <c r="D218" s="55" t="s">
        <v>7</v>
      </c>
      <c r="E218" s="56">
        <v>3</v>
      </c>
      <c r="F218" s="56">
        <f t="shared" si="139"/>
        <v>9.98</v>
      </c>
      <c r="G218" s="56">
        <f t="shared" si="140"/>
        <v>12.97</v>
      </c>
      <c r="H218" s="56">
        <f t="shared" si="141"/>
        <v>38.909999999999997</v>
      </c>
      <c r="I218" s="57">
        <f t="shared" si="129"/>
        <v>8.022680412371133E-5</v>
      </c>
      <c r="J218" s="1" t="s">
        <v>59</v>
      </c>
      <c r="K218" s="3">
        <v>9.98</v>
      </c>
    </row>
    <row r="219" spans="1:11" s="2" customFormat="1" ht="47.25" x14ac:dyDescent="0.2">
      <c r="A219" s="52" t="s">
        <v>490</v>
      </c>
      <c r="B219" s="53" t="s">
        <v>177</v>
      </c>
      <c r="C219" s="54" t="s">
        <v>178</v>
      </c>
      <c r="D219" s="55" t="s">
        <v>14</v>
      </c>
      <c r="E219" s="56">
        <v>279.94</v>
      </c>
      <c r="F219" s="56">
        <f t="shared" ref="F219:F220" si="142">ROUND(K219*(1-$K$9),2)</f>
        <v>8.23</v>
      </c>
      <c r="G219" s="56">
        <f t="shared" ref="G219" si="143">ROUND(F219*(IF(J219="O",(1+$E$9),IF(J219="E",(1+$E$18),(1+$E$26)))),2)</f>
        <v>10.7</v>
      </c>
      <c r="H219" s="56">
        <f t="shared" ref="H219:H220" si="144">ROUND((E219*G219),2)</f>
        <v>2995.36</v>
      </c>
      <c r="I219" s="57">
        <f t="shared" si="129"/>
        <v>6.1760000000000001E-3</v>
      </c>
      <c r="J219" s="1" t="s">
        <v>59</v>
      </c>
      <c r="K219" s="3">
        <v>8.23</v>
      </c>
    </row>
    <row r="220" spans="1:11" s="2" customFormat="1" ht="47.25" x14ac:dyDescent="0.2">
      <c r="A220" s="52" t="s">
        <v>491</v>
      </c>
      <c r="B220" s="53" t="s">
        <v>179</v>
      </c>
      <c r="C220" s="54" t="s">
        <v>180</v>
      </c>
      <c r="D220" s="55" t="s">
        <v>14</v>
      </c>
      <c r="E220" s="56">
        <f>E219</f>
        <v>279.94</v>
      </c>
      <c r="F220" s="56">
        <f t="shared" si="142"/>
        <v>0.69</v>
      </c>
      <c r="G220" s="56">
        <f t="shared" ref="G220" si="145">ROUND(F220*(IF(J220="O",(1+$E$9),IF(J220="E",(1+$E$18),(1+$E$26)))),2)</f>
        <v>0.9</v>
      </c>
      <c r="H220" s="56">
        <f t="shared" si="144"/>
        <v>251.95</v>
      </c>
      <c r="I220" s="57">
        <f t="shared" si="129"/>
        <v>5.1948453608247416E-4</v>
      </c>
      <c r="J220" s="1" t="s">
        <v>59</v>
      </c>
      <c r="K220" s="3">
        <v>0.69</v>
      </c>
    </row>
    <row r="221" spans="1:11" s="2" customFormat="1" ht="63" x14ac:dyDescent="0.2">
      <c r="A221" s="52" t="s">
        <v>492</v>
      </c>
      <c r="B221" s="53" t="s">
        <v>181</v>
      </c>
      <c r="C221" s="54" t="s">
        <v>182</v>
      </c>
      <c r="D221" s="55" t="s">
        <v>7</v>
      </c>
      <c r="E221" s="56">
        <v>6</v>
      </c>
      <c r="F221" s="56">
        <f t="shared" ref="F221:F222" si="146">ROUND(K221*(1-$K$9),2)</f>
        <v>61.15</v>
      </c>
      <c r="G221" s="56">
        <f t="shared" ref="G221:G222" si="147">ROUND(F221*(IF(J221="O",(1+$E$9),IF(J221="E",(1+$E$18),(1+$E$26)))),2)</f>
        <v>79.5</v>
      </c>
      <c r="H221" s="56">
        <f t="shared" ref="H221:H222" si="148">ROUND((E221*G221),2)</f>
        <v>477</v>
      </c>
      <c r="I221" s="57">
        <f t="shared" si="129"/>
        <v>9.8350515463917535E-4</v>
      </c>
      <c r="J221" s="1" t="s">
        <v>59</v>
      </c>
      <c r="K221" s="3">
        <v>61.15</v>
      </c>
    </row>
    <row r="222" spans="1:11" s="2" customFormat="1" ht="63" x14ac:dyDescent="0.2">
      <c r="A222" s="52" t="s">
        <v>493</v>
      </c>
      <c r="B222" s="53" t="s">
        <v>183</v>
      </c>
      <c r="C222" s="54" t="s">
        <v>184</v>
      </c>
      <c r="D222" s="55" t="s">
        <v>7</v>
      </c>
      <c r="E222" s="56">
        <v>26</v>
      </c>
      <c r="F222" s="56">
        <f t="shared" si="146"/>
        <v>54.55</v>
      </c>
      <c r="G222" s="56">
        <f t="shared" si="147"/>
        <v>70.92</v>
      </c>
      <c r="H222" s="56">
        <f t="shared" si="148"/>
        <v>1843.92</v>
      </c>
      <c r="I222" s="57">
        <f t="shared" si="129"/>
        <v>3.801896907216495E-3</v>
      </c>
      <c r="J222" s="1" t="s">
        <v>59</v>
      </c>
      <c r="K222" s="3">
        <v>54.55</v>
      </c>
    </row>
    <row r="223" spans="1:11" s="2" customFormat="1" ht="47.25" x14ac:dyDescent="0.2">
      <c r="A223" s="52" t="s">
        <v>494</v>
      </c>
      <c r="B223" s="53" t="s">
        <v>185</v>
      </c>
      <c r="C223" s="54" t="s">
        <v>186</v>
      </c>
      <c r="D223" s="55" t="s">
        <v>14</v>
      </c>
      <c r="E223" s="56">
        <v>31.89</v>
      </c>
      <c r="F223" s="56">
        <f t="shared" ref="F223:F224" si="149">ROUND(K223*(1-$K$9),2)</f>
        <v>36.659999999999997</v>
      </c>
      <c r="G223" s="56">
        <f t="shared" ref="G223:G226" si="150">ROUND(F223*(IF(J223="O",(1+$E$9),IF(J223="E",(1+$E$18),(1+$E$26)))),2)</f>
        <v>47.66</v>
      </c>
      <c r="H223" s="56">
        <f t="shared" ref="H223:H224" si="151">ROUND((E223*G223),2)</f>
        <v>1519.88</v>
      </c>
      <c r="I223" s="57">
        <f t="shared" si="129"/>
        <v>3.133773195876289E-3</v>
      </c>
      <c r="J223" s="1" t="s">
        <v>59</v>
      </c>
      <c r="K223" s="3">
        <v>36.659999999999997</v>
      </c>
    </row>
    <row r="224" spans="1:11" s="2" customFormat="1" ht="78.75" x14ac:dyDescent="0.2">
      <c r="A224" s="52" t="s">
        <v>495</v>
      </c>
      <c r="B224" s="53" t="s">
        <v>509</v>
      </c>
      <c r="C224" s="54" t="s">
        <v>527</v>
      </c>
      <c r="D224" s="55" t="s">
        <v>7</v>
      </c>
      <c r="E224" s="56">
        <v>1</v>
      </c>
      <c r="F224" s="56">
        <f t="shared" si="149"/>
        <v>4201.47</v>
      </c>
      <c r="G224" s="56">
        <f t="shared" si="150"/>
        <v>5461.91</v>
      </c>
      <c r="H224" s="56">
        <f t="shared" si="151"/>
        <v>5461.91</v>
      </c>
      <c r="I224" s="57">
        <f t="shared" si="129"/>
        <v>1.1261670103092784E-2</v>
      </c>
      <c r="J224" s="1" t="s">
        <v>59</v>
      </c>
      <c r="K224" s="3">
        <v>4201.47</v>
      </c>
    </row>
    <row r="225" spans="1:11" s="2" customFormat="1" ht="63" x14ac:dyDescent="0.2">
      <c r="A225" s="52" t="s">
        <v>496</v>
      </c>
      <c r="B225" s="53">
        <v>101880</v>
      </c>
      <c r="C225" s="54" t="s">
        <v>508</v>
      </c>
      <c r="D225" s="55" t="s">
        <v>7</v>
      </c>
      <c r="E225" s="56">
        <v>2</v>
      </c>
      <c r="F225" s="56">
        <f t="shared" ref="F225:F230" si="152">ROUND(K225*(1-$K$9),2)</f>
        <v>832.39</v>
      </c>
      <c r="G225" s="56">
        <f t="shared" si="150"/>
        <v>1082.1099999999999</v>
      </c>
      <c r="H225" s="56">
        <f t="shared" ref="H225:H230" si="153">ROUND((E225*G225),2)</f>
        <v>2164.2199999999998</v>
      </c>
      <c r="I225" s="57">
        <f t="shared" si="129"/>
        <v>4.4623092783505148E-3</v>
      </c>
      <c r="J225" s="1" t="s">
        <v>59</v>
      </c>
      <c r="K225" s="3">
        <v>832.39</v>
      </c>
    </row>
    <row r="226" spans="1:11" s="2" customFormat="1" x14ac:dyDescent="0.2">
      <c r="A226" s="52" t="s">
        <v>497</v>
      </c>
      <c r="B226" s="53" t="s">
        <v>187</v>
      </c>
      <c r="C226" s="54" t="s">
        <v>188</v>
      </c>
      <c r="D226" s="55" t="s">
        <v>7</v>
      </c>
      <c r="E226" s="56">
        <v>1</v>
      </c>
      <c r="F226" s="56">
        <f t="shared" si="152"/>
        <v>46.88</v>
      </c>
      <c r="G226" s="56">
        <f t="shared" si="150"/>
        <v>60.94</v>
      </c>
      <c r="H226" s="56">
        <f t="shared" si="153"/>
        <v>60.94</v>
      </c>
      <c r="I226" s="57">
        <f t="shared" si="129"/>
        <v>1.2564948453608246E-4</v>
      </c>
      <c r="J226" s="1" t="s">
        <v>59</v>
      </c>
      <c r="K226" s="3">
        <v>46.88</v>
      </c>
    </row>
    <row r="227" spans="1:11" s="2" customFormat="1" x14ac:dyDescent="0.2">
      <c r="A227" s="52" t="s">
        <v>498</v>
      </c>
      <c r="B227" s="53" t="s">
        <v>506</v>
      </c>
      <c r="C227" s="54" t="s">
        <v>507</v>
      </c>
      <c r="D227" s="55" t="s">
        <v>7</v>
      </c>
      <c r="E227" s="56">
        <v>3</v>
      </c>
      <c r="F227" s="56">
        <f t="shared" si="152"/>
        <v>46.88</v>
      </c>
      <c r="G227" s="56">
        <f t="shared" ref="G227:G231" si="154">ROUND(F227*(IF(J227="O",(1+$E$9),IF(J227="E",(1+$E$18),(1+$E$26)))),2)</f>
        <v>60.94</v>
      </c>
      <c r="H227" s="56">
        <f t="shared" si="153"/>
        <v>182.82</v>
      </c>
      <c r="I227" s="57">
        <f t="shared" si="129"/>
        <v>3.7694845360824742E-4</v>
      </c>
      <c r="J227" s="1" t="s">
        <v>59</v>
      </c>
      <c r="K227" s="3">
        <v>46.88</v>
      </c>
    </row>
    <row r="228" spans="1:11" s="2" customFormat="1" ht="63" x14ac:dyDescent="0.2">
      <c r="A228" s="52" t="s">
        <v>499</v>
      </c>
      <c r="B228" s="53" t="s">
        <v>189</v>
      </c>
      <c r="C228" s="54" t="s">
        <v>190</v>
      </c>
      <c r="D228" s="55" t="s">
        <v>7</v>
      </c>
      <c r="E228" s="56">
        <v>7</v>
      </c>
      <c r="F228" s="56">
        <f t="shared" si="152"/>
        <v>116.63</v>
      </c>
      <c r="G228" s="56">
        <f t="shared" si="154"/>
        <v>151.62</v>
      </c>
      <c r="H228" s="56">
        <f t="shared" si="153"/>
        <v>1061.3399999999999</v>
      </c>
      <c r="I228" s="57">
        <f t="shared" si="129"/>
        <v>2.1883298969072162E-3</v>
      </c>
      <c r="J228" s="1" t="s">
        <v>59</v>
      </c>
      <c r="K228" s="3">
        <v>116.63</v>
      </c>
    </row>
    <row r="229" spans="1:11" s="2" customFormat="1" x14ac:dyDescent="0.2">
      <c r="A229" s="52" t="s">
        <v>500</v>
      </c>
      <c r="B229" s="53" t="s">
        <v>191</v>
      </c>
      <c r="C229" s="54" t="s">
        <v>192</v>
      </c>
      <c r="D229" s="55" t="s">
        <v>7</v>
      </c>
      <c r="E229" s="56">
        <v>4</v>
      </c>
      <c r="F229" s="56">
        <f t="shared" si="152"/>
        <v>20.21</v>
      </c>
      <c r="G229" s="56">
        <f t="shared" si="154"/>
        <v>26.27</v>
      </c>
      <c r="H229" s="56">
        <f t="shared" si="153"/>
        <v>105.08</v>
      </c>
      <c r="I229" s="57">
        <f t="shared" si="129"/>
        <v>2.1665979381443298E-4</v>
      </c>
      <c r="J229" s="1" t="s">
        <v>59</v>
      </c>
      <c r="K229" s="3">
        <v>20.21</v>
      </c>
    </row>
    <row r="230" spans="1:11" s="2" customFormat="1" x14ac:dyDescent="0.2">
      <c r="A230" s="52" t="s">
        <v>501</v>
      </c>
      <c r="B230" s="53" t="s">
        <v>193</v>
      </c>
      <c r="C230" s="54" t="s">
        <v>194</v>
      </c>
      <c r="D230" s="55" t="s">
        <v>7</v>
      </c>
      <c r="E230" s="56">
        <v>1</v>
      </c>
      <c r="F230" s="56">
        <f t="shared" si="152"/>
        <v>20.21</v>
      </c>
      <c r="G230" s="56">
        <f t="shared" si="154"/>
        <v>26.27</v>
      </c>
      <c r="H230" s="56">
        <f t="shared" si="153"/>
        <v>26.27</v>
      </c>
      <c r="I230" s="57">
        <f t="shared" si="129"/>
        <v>5.4164948453608246E-5</v>
      </c>
      <c r="J230" s="1" t="s">
        <v>59</v>
      </c>
      <c r="K230" s="3">
        <v>20.21</v>
      </c>
    </row>
    <row r="231" spans="1:11" s="2" customFormat="1" ht="31.5" x14ac:dyDescent="0.2">
      <c r="A231" s="52" t="s">
        <v>502</v>
      </c>
      <c r="B231" s="53" t="s">
        <v>195</v>
      </c>
      <c r="C231" s="54" t="s">
        <v>196</v>
      </c>
      <c r="D231" s="55" t="s">
        <v>7</v>
      </c>
      <c r="E231" s="56">
        <v>4</v>
      </c>
      <c r="F231" s="56">
        <f t="shared" ref="F231:F232" si="155">ROUND(K231*(1-$K$9),2)</f>
        <v>274.07</v>
      </c>
      <c r="G231" s="56">
        <f t="shared" si="154"/>
        <v>356.29</v>
      </c>
      <c r="H231" s="56">
        <f t="shared" ref="H231:H232" si="156">ROUND((E231*G231),2)</f>
        <v>1425.16</v>
      </c>
      <c r="I231" s="57">
        <f t="shared" si="129"/>
        <v>2.938474226804124E-3</v>
      </c>
      <c r="J231" s="1" t="s">
        <v>59</v>
      </c>
      <c r="K231" s="3">
        <v>274.07</v>
      </c>
    </row>
    <row r="232" spans="1:11" s="2" customFormat="1" x14ac:dyDescent="0.2">
      <c r="A232" s="52" t="s">
        <v>503</v>
      </c>
      <c r="B232" s="53" t="s">
        <v>197</v>
      </c>
      <c r="C232" s="54" t="s">
        <v>198</v>
      </c>
      <c r="D232" s="55" t="s">
        <v>7</v>
      </c>
      <c r="E232" s="56">
        <v>1</v>
      </c>
      <c r="F232" s="56">
        <f t="shared" si="155"/>
        <v>415.89</v>
      </c>
      <c r="G232" s="56">
        <f t="shared" ref="G232" si="157">ROUND(F232*(IF(J232="O",(1+$E$9),IF(J232="E",(1+$E$18),(1+$E$26)))),2)</f>
        <v>540.66</v>
      </c>
      <c r="H232" s="56">
        <f t="shared" si="156"/>
        <v>540.66</v>
      </c>
      <c r="I232" s="57">
        <f t="shared" si="129"/>
        <v>1.1147628865979381E-3</v>
      </c>
      <c r="J232" s="1" t="s">
        <v>59</v>
      </c>
      <c r="K232" s="3">
        <v>415.89</v>
      </c>
    </row>
    <row r="233" spans="1:11" s="77" customFormat="1" x14ac:dyDescent="0.2">
      <c r="A233" s="58"/>
      <c r="B233" s="59"/>
      <c r="C233" s="46" t="s">
        <v>79</v>
      </c>
      <c r="D233" s="59"/>
      <c r="E233" s="60"/>
      <c r="F233" s="61"/>
      <c r="G233" s="62"/>
      <c r="H233" s="63">
        <f>ROUND(SUM(H205:H232),2)</f>
        <v>32347.02</v>
      </c>
      <c r="I233" s="76">
        <f t="shared" si="129"/>
        <v>6.6694886597938138E-2</v>
      </c>
      <c r="J233" s="65"/>
      <c r="K233" s="66"/>
    </row>
    <row r="234" spans="1:11" ht="9.9499999999999993" customHeight="1" x14ac:dyDescent="0.2">
      <c r="A234" s="67"/>
      <c r="B234" s="68"/>
      <c r="C234" s="68"/>
      <c r="D234" s="68"/>
      <c r="E234" s="69"/>
      <c r="F234" s="69"/>
      <c r="G234" s="69"/>
      <c r="H234" s="69"/>
      <c r="I234" s="70"/>
      <c r="J234" s="103"/>
      <c r="K234" s="51"/>
    </row>
    <row r="235" spans="1:11" s="2" customFormat="1" x14ac:dyDescent="0.2">
      <c r="A235" s="43">
        <v>15</v>
      </c>
      <c r="B235" s="72"/>
      <c r="C235" s="46" t="s">
        <v>23</v>
      </c>
      <c r="D235" s="47"/>
      <c r="E235" s="48"/>
      <c r="F235" s="49"/>
      <c r="G235" s="48"/>
      <c r="H235" s="49"/>
      <c r="I235" s="50"/>
      <c r="J235" s="71"/>
      <c r="K235" s="51"/>
    </row>
    <row r="236" spans="1:11" s="2" customFormat="1" ht="31.5" x14ac:dyDescent="0.2">
      <c r="A236" s="52" t="s">
        <v>364</v>
      </c>
      <c r="B236" s="53" t="s">
        <v>231</v>
      </c>
      <c r="C236" s="54" t="s">
        <v>28</v>
      </c>
      <c r="D236" s="55" t="s">
        <v>7</v>
      </c>
      <c r="E236" s="56">
        <v>3</v>
      </c>
      <c r="F236" s="56">
        <f t="shared" ref="F236:F244" si="158">ROUND(K236*(1-$K$9),2)</f>
        <v>168.56</v>
      </c>
      <c r="G236" s="56">
        <f t="shared" ref="G236:G244" si="159">ROUND(F236*(IF(J236="O",(1+$E$9),IF(J236="E",(1+$E$18),(1+$E$26)))),2)</f>
        <v>219.13</v>
      </c>
      <c r="H236" s="56">
        <f t="shared" ref="H236:H244" si="160">ROUND((E236*G236),2)</f>
        <v>657.39</v>
      </c>
      <c r="I236" s="57">
        <f t="shared" ref="I236:I245" si="161">H236/$H$256</f>
        <v>1.3554432989690722E-3</v>
      </c>
      <c r="J236" s="1" t="s">
        <v>59</v>
      </c>
      <c r="K236" s="3">
        <v>168.56</v>
      </c>
    </row>
    <row r="237" spans="1:11" s="2" customFormat="1" ht="31.5" x14ac:dyDescent="0.2">
      <c r="A237" s="52" t="s">
        <v>365</v>
      </c>
      <c r="B237" s="53">
        <v>101909</v>
      </c>
      <c r="C237" s="54" t="s">
        <v>373</v>
      </c>
      <c r="D237" s="55" t="s">
        <v>7</v>
      </c>
      <c r="E237" s="56">
        <v>1</v>
      </c>
      <c r="F237" s="56">
        <f t="shared" si="158"/>
        <v>209.21</v>
      </c>
      <c r="G237" s="56">
        <f t="shared" si="159"/>
        <v>271.97000000000003</v>
      </c>
      <c r="H237" s="56">
        <f t="shared" si="160"/>
        <v>271.97000000000003</v>
      </c>
      <c r="I237" s="57">
        <f t="shared" si="161"/>
        <v>5.6076288659793821E-4</v>
      </c>
      <c r="J237" s="1" t="s">
        <v>59</v>
      </c>
      <c r="K237" s="3">
        <v>209.21</v>
      </c>
    </row>
    <row r="238" spans="1:11" s="2" customFormat="1" ht="47.25" x14ac:dyDescent="0.2">
      <c r="A238" s="52" t="s">
        <v>366</v>
      </c>
      <c r="B238" s="53" t="s">
        <v>542</v>
      </c>
      <c r="C238" s="54" t="s">
        <v>543</v>
      </c>
      <c r="D238" s="55" t="s">
        <v>7</v>
      </c>
      <c r="E238" s="56">
        <v>7</v>
      </c>
      <c r="F238" s="56">
        <f t="shared" si="158"/>
        <v>203.89</v>
      </c>
      <c r="G238" s="56">
        <f t="shared" si="159"/>
        <v>265.06</v>
      </c>
      <c r="H238" s="56">
        <f t="shared" si="160"/>
        <v>1855.42</v>
      </c>
      <c r="I238" s="57">
        <f t="shared" si="161"/>
        <v>3.8256082474226807E-3</v>
      </c>
      <c r="J238" s="1" t="s">
        <v>59</v>
      </c>
      <c r="K238" s="3">
        <v>203.89</v>
      </c>
    </row>
    <row r="239" spans="1:11" s="2" customFormat="1" ht="31.5" x14ac:dyDescent="0.2">
      <c r="A239" s="52" t="s">
        <v>367</v>
      </c>
      <c r="B239" s="53" t="s">
        <v>232</v>
      </c>
      <c r="C239" s="54" t="s">
        <v>233</v>
      </c>
      <c r="D239" s="55" t="s">
        <v>7</v>
      </c>
      <c r="E239" s="56">
        <v>8</v>
      </c>
      <c r="F239" s="56">
        <f t="shared" si="158"/>
        <v>31.64</v>
      </c>
      <c r="G239" s="56">
        <f t="shared" si="159"/>
        <v>41.13</v>
      </c>
      <c r="H239" s="56">
        <f t="shared" si="160"/>
        <v>329.04</v>
      </c>
      <c r="I239" s="57">
        <f t="shared" si="161"/>
        <v>6.7843298969072171E-4</v>
      </c>
      <c r="J239" s="1" t="s">
        <v>59</v>
      </c>
      <c r="K239" s="3">
        <v>31.64</v>
      </c>
    </row>
    <row r="240" spans="1:11" s="2" customFormat="1" x14ac:dyDescent="0.2">
      <c r="A240" s="52" t="s">
        <v>368</v>
      </c>
      <c r="B240" s="53" t="s">
        <v>234</v>
      </c>
      <c r="C240" s="54" t="s">
        <v>235</v>
      </c>
      <c r="D240" s="55" t="s">
        <v>7</v>
      </c>
      <c r="E240" s="56">
        <v>3</v>
      </c>
      <c r="F240" s="56">
        <f t="shared" si="158"/>
        <v>18.899999999999999</v>
      </c>
      <c r="G240" s="56">
        <f t="shared" si="159"/>
        <v>24.57</v>
      </c>
      <c r="H240" s="56">
        <f t="shared" si="160"/>
        <v>73.709999999999994</v>
      </c>
      <c r="I240" s="57">
        <f t="shared" si="161"/>
        <v>1.5197938144329896E-4</v>
      </c>
      <c r="J240" s="1" t="s">
        <v>59</v>
      </c>
      <c r="K240" s="3">
        <v>18.899999999999999</v>
      </c>
    </row>
    <row r="241" spans="1:11" s="2" customFormat="1" ht="31.5" x14ac:dyDescent="0.2">
      <c r="A241" s="52" t="s">
        <v>369</v>
      </c>
      <c r="B241" s="53" t="s">
        <v>236</v>
      </c>
      <c r="C241" s="54" t="s">
        <v>237</v>
      </c>
      <c r="D241" s="55" t="s">
        <v>7</v>
      </c>
      <c r="E241" s="56">
        <v>2</v>
      </c>
      <c r="F241" s="56">
        <f t="shared" si="158"/>
        <v>18.97</v>
      </c>
      <c r="G241" s="56">
        <f t="shared" si="159"/>
        <v>24.66</v>
      </c>
      <c r="H241" s="56">
        <f t="shared" si="160"/>
        <v>49.32</v>
      </c>
      <c r="I241" s="57">
        <f t="shared" si="161"/>
        <v>1.0169072164948454E-4</v>
      </c>
      <c r="J241" s="1" t="s">
        <v>59</v>
      </c>
      <c r="K241" s="3">
        <v>18.97</v>
      </c>
    </row>
    <row r="242" spans="1:11" s="2" customFormat="1" ht="31.5" x14ac:dyDescent="0.2">
      <c r="A242" s="52" t="s">
        <v>370</v>
      </c>
      <c r="B242" s="53" t="s">
        <v>238</v>
      </c>
      <c r="C242" s="54" t="s">
        <v>239</v>
      </c>
      <c r="D242" s="55" t="s">
        <v>7</v>
      </c>
      <c r="E242" s="56">
        <f>2+2</f>
        <v>4</v>
      </c>
      <c r="F242" s="56">
        <f t="shared" si="158"/>
        <v>21.01</v>
      </c>
      <c r="G242" s="56">
        <f t="shared" si="159"/>
        <v>27.31</v>
      </c>
      <c r="H242" s="56">
        <f t="shared" si="160"/>
        <v>109.24</v>
      </c>
      <c r="I242" s="57">
        <f t="shared" si="161"/>
        <v>2.2523711340206184E-4</v>
      </c>
      <c r="J242" s="1" t="s">
        <v>59</v>
      </c>
      <c r="K242" s="3">
        <v>21.01</v>
      </c>
    </row>
    <row r="243" spans="1:11" s="2" customFormat="1" ht="31.5" x14ac:dyDescent="0.2">
      <c r="A243" s="52" t="s">
        <v>371</v>
      </c>
      <c r="B243" s="53" t="s">
        <v>240</v>
      </c>
      <c r="C243" s="54" t="s">
        <v>241</v>
      </c>
      <c r="D243" s="55" t="s">
        <v>7</v>
      </c>
      <c r="E243" s="56">
        <v>4</v>
      </c>
      <c r="F243" s="56">
        <f t="shared" si="158"/>
        <v>21.11</v>
      </c>
      <c r="G243" s="56">
        <f t="shared" si="159"/>
        <v>27.44</v>
      </c>
      <c r="H243" s="56">
        <f t="shared" si="160"/>
        <v>109.76</v>
      </c>
      <c r="I243" s="57">
        <f t="shared" si="161"/>
        <v>2.2630927835051547E-4</v>
      </c>
      <c r="J243" s="1" t="s">
        <v>59</v>
      </c>
      <c r="K243" s="3">
        <v>21.11</v>
      </c>
    </row>
    <row r="244" spans="1:11" s="2" customFormat="1" x14ac:dyDescent="0.2">
      <c r="A244" s="52" t="s">
        <v>372</v>
      </c>
      <c r="B244" s="53" t="s">
        <v>242</v>
      </c>
      <c r="C244" s="54" t="s">
        <v>243</v>
      </c>
      <c r="D244" s="55" t="s">
        <v>7</v>
      </c>
      <c r="E244" s="56">
        <v>9</v>
      </c>
      <c r="F244" s="56">
        <f t="shared" si="158"/>
        <v>20.96</v>
      </c>
      <c r="G244" s="56">
        <f t="shared" si="159"/>
        <v>27.25</v>
      </c>
      <c r="H244" s="56">
        <f t="shared" si="160"/>
        <v>245.25</v>
      </c>
      <c r="I244" s="57">
        <f t="shared" si="161"/>
        <v>5.056701030927835E-4</v>
      </c>
      <c r="J244" s="1" t="s">
        <v>59</v>
      </c>
      <c r="K244" s="3">
        <v>20.96</v>
      </c>
    </row>
    <row r="245" spans="1:11" s="2" customFormat="1" x14ac:dyDescent="0.2">
      <c r="A245" s="75"/>
      <c r="B245" s="59"/>
      <c r="C245" s="46" t="s">
        <v>80</v>
      </c>
      <c r="D245" s="59"/>
      <c r="E245" s="60"/>
      <c r="F245" s="61"/>
      <c r="G245" s="62"/>
      <c r="H245" s="63">
        <f>ROUND(SUM(H236:H244),2)</f>
        <v>3701.1</v>
      </c>
      <c r="I245" s="76">
        <f t="shared" si="161"/>
        <v>7.6311340206185567E-3</v>
      </c>
      <c r="J245" s="65"/>
      <c r="K245" s="66"/>
    </row>
    <row r="246" spans="1:11" s="2" customFormat="1" ht="9.9499999999999993" customHeight="1" x14ac:dyDescent="0.2">
      <c r="A246" s="67"/>
      <c r="B246" s="68"/>
      <c r="C246" s="68"/>
      <c r="D246" s="68"/>
      <c r="E246" s="69"/>
      <c r="F246" s="69"/>
      <c r="G246" s="69"/>
      <c r="H246" s="69"/>
      <c r="I246" s="70"/>
      <c r="J246" s="103"/>
      <c r="K246" s="51"/>
    </row>
    <row r="247" spans="1:11" s="2" customFormat="1" x14ac:dyDescent="0.2">
      <c r="A247" s="43">
        <v>16</v>
      </c>
      <c r="B247" s="72"/>
      <c r="C247" s="46" t="s">
        <v>81</v>
      </c>
      <c r="D247" s="47"/>
      <c r="E247" s="48"/>
      <c r="F247" s="49"/>
      <c r="G247" s="48"/>
      <c r="H247" s="49"/>
      <c r="I247" s="50"/>
      <c r="J247" s="71"/>
      <c r="K247" s="51"/>
    </row>
    <row r="248" spans="1:11" s="2" customFormat="1" ht="94.5" x14ac:dyDescent="0.2">
      <c r="A248" s="52" t="s">
        <v>423</v>
      </c>
      <c r="B248" s="53" t="s">
        <v>295</v>
      </c>
      <c r="C248" s="54" t="s">
        <v>296</v>
      </c>
      <c r="D248" s="55" t="s">
        <v>7</v>
      </c>
      <c r="E248" s="56">
        <v>1</v>
      </c>
      <c r="F248" s="56">
        <f t="shared" ref="F248" si="162">ROUND(K248*(1-$K$9),2)</f>
        <v>292.89999999999998</v>
      </c>
      <c r="G248" s="56">
        <f t="shared" ref="G248" si="163">ROUND(F248*(IF(J248="O",(1+$E$9),IF(J248="E",(1+$E$18),(1+$E$26)))),2)</f>
        <v>380.77</v>
      </c>
      <c r="H248" s="56">
        <f t="shared" ref="H248" si="164">ROUND((E248*G248),2)</f>
        <v>380.77</v>
      </c>
      <c r="I248" s="57">
        <f>H248/$H$256</f>
        <v>7.8509278350515457E-4</v>
      </c>
      <c r="J248" s="1" t="s">
        <v>59</v>
      </c>
      <c r="K248" s="3">
        <v>292.89999999999998</v>
      </c>
    </row>
    <row r="249" spans="1:11" s="2" customFormat="1" x14ac:dyDescent="0.2">
      <c r="A249" s="58"/>
      <c r="B249" s="59"/>
      <c r="C249" s="46" t="s">
        <v>322</v>
      </c>
      <c r="D249" s="59"/>
      <c r="E249" s="60"/>
      <c r="F249" s="61"/>
      <c r="G249" s="62"/>
      <c r="H249" s="63">
        <f>ROUND(SUM(H248:H248),2)</f>
        <v>380.77</v>
      </c>
      <c r="I249" s="76">
        <f>H249/$H$256</f>
        <v>7.8509278350515457E-4</v>
      </c>
      <c r="J249" s="65"/>
      <c r="K249" s="66"/>
    </row>
    <row r="250" spans="1:11" s="2" customFormat="1" ht="9.9499999999999993" customHeight="1" x14ac:dyDescent="0.2">
      <c r="A250" s="67"/>
      <c r="B250" s="68"/>
      <c r="C250" s="68"/>
      <c r="D250" s="68"/>
      <c r="E250" s="69"/>
      <c r="F250" s="69"/>
      <c r="G250" s="69"/>
      <c r="H250" s="69"/>
      <c r="I250" s="70"/>
      <c r="J250" s="103"/>
      <c r="K250" s="51"/>
    </row>
    <row r="251" spans="1:11" s="2" customFormat="1" x14ac:dyDescent="0.2">
      <c r="A251" s="43">
        <v>17</v>
      </c>
      <c r="B251" s="72"/>
      <c r="C251" s="46" t="s">
        <v>24</v>
      </c>
      <c r="D251" s="47"/>
      <c r="E251" s="48"/>
      <c r="F251" s="49"/>
      <c r="G251" s="48"/>
      <c r="H251" s="49"/>
      <c r="I251" s="50"/>
      <c r="J251" s="71"/>
      <c r="K251" s="51"/>
    </row>
    <row r="252" spans="1:11" s="2" customFormat="1" ht="45.75" customHeight="1" x14ac:dyDescent="0.2">
      <c r="A252" s="52" t="s">
        <v>424</v>
      </c>
      <c r="B252" s="53" t="s">
        <v>199</v>
      </c>
      <c r="C252" s="54" t="s">
        <v>200</v>
      </c>
      <c r="D252" s="55" t="s">
        <v>0</v>
      </c>
      <c r="E252" s="56">
        <v>205</v>
      </c>
      <c r="F252" s="56">
        <f t="shared" ref="F252" si="165">ROUND(K252*(1-$K$9),2)</f>
        <v>5.86</v>
      </c>
      <c r="G252" s="56">
        <f t="shared" ref="G252" si="166">ROUND(F252*(IF(J252="O",(1+$E$9),IF(J252="E",(1+$E$18),(1+$E$26)))),2)</f>
        <v>7.62</v>
      </c>
      <c r="H252" s="56">
        <f t="shared" ref="H252" si="167">ROUND((E252*G252),2)</f>
        <v>1562.1</v>
      </c>
      <c r="I252" s="57">
        <f>H252/$H$256</f>
        <v>3.220824742268041E-3</v>
      </c>
      <c r="J252" s="1" t="s">
        <v>59</v>
      </c>
      <c r="K252" s="3">
        <v>5.86</v>
      </c>
    </row>
    <row r="253" spans="1:11" s="2" customFormat="1" x14ac:dyDescent="0.2">
      <c r="A253" s="58"/>
      <c r="B253" s="59"/>
      <c r="C253" s="46" t="s">
        <v>82</v>
      </c>
      <c r="D253" s="59"/>
      <c r="E253" s="60"/>
      <c r="F253" s="61"/>
      <c r="G253" s="62"/>
      <c r="H253" s="63">
        <f>ROUND(SUM(H252:H252),2)</f>
        <v>1562.1</v>
      </c>
      <c r="I253" s="76">
        <f>H253/$H$256</f>
        <v>3.220824742268041E-3</v>
      </c>
      <c r="J253" s="65"/>
      <c r="K253" s="66"/>
    </row>
    <row r="254" spans="1:11" s="2" customFormat="1" ht="9.9499999999999993" customHeight="1" x14ac:dyDescent="0.2">
      <c r="A254" s="104"/>
      <c r="B254" s="105"/>
      <c r="C254" s="106"/>
      <c r="D254" s="105"/>
      <c r="E254" s="107"/>
      <c r="F254" s="108"/>
      <c r="G254" s="109"/>
      <c r="H254" s="110"/>
      <c r="I254" s="111"/>
      <c r="J254" s="103"/>
      <c r="K254" s="51"/>
    </row>
    <row r="255" spans="1:11" s="2" customFormat="1" ht="9.9499999999999993" customHeight="1" x14ac:dyDescent="0.2">
      <c r="A255" s="92"/>
      <c r="B255" s="83"/>
      <c r="C255" s="82"/>
      <c r="D255" s="83"/>
      <c r="E255" s="93"/>
      <c r="F255" s="84"/>
      <c r="G255" s="85"/>
      <c r="H255" s="84"/>
      <c r="I255" s="95"/>
      <c r="J255" s="103"/>
      <c r="K255" s="51"/>
    </row>
    <row r="256" spans="1:11" s="2" customFormat="1" x14ac:dyDescent="0.2">
      <c r="A256" s="112"/>
      <c r="B256" s="113"/>
      <c r="C256" s="113" t="s">
        <v>25</v>
      </c>
      <c r="D256" s="113"/>
      <c r="E256" s="114"/>
      <c r="F256" s="114"/>
      <c r="G256" s="115"/>
      <c r="H256" s="63">
        <f>ROUND(H58+H39+H51+H63+H75+H85+H96+H106+H116+H133+H145+H202+H233+H245+H249+H253,2)</f>
        <v>485000</v>
      </c>
      <c r="I256" s="116"/>
      <c r="J256" s="71"/>
      <c r="K256" s="51"/>
    </row>
    <row r="262" spans="3:11" x14ac:dyDescent="0.2">
      <c r="C262" s="149"/>
      <c r="D262" s="149"/>
    </row>
    <row r="263" spans="3:11" x14ac:dyDescent="0.2">
      <c r="C263" s="150" t="s">
        <v>530</v>
      </c>
      <c r="D263" s="150"/>
    </row>
    <row r="264" spans="3:11" x14ac:dyDescent="0.2">
      <c r="C264" s="122"/>
      <c r="D264" s="122"/>
    </row>
    <row r="265" spans="3:11" x14ac:dyDescent="0.2">
      <c r="C265" s="122"/>
      <c r="D265" s="122"/>
    </row>
    <row r="266" spans="3:11" x14ac:dyDescent="0.2">
      <c r="C266" s="122"/>
      <c r="D266" s="122"/>
    </row>
    <row r="267" spans="3:11" x14ac:dyDescent="0.2">
      <c r="C267" s="149"/>
      <c r="D267" s="149"/>
      <c r="E267" s="120"/>
      <c r="G267" s="120"/>
    </row>
    <row r="268" spans="3:11" x14ac:dyDescent="0.2">
      <c r="C268" s="150" t="s">
        <v>531</v>
      </c>
      <c r="D268" s="150"/>
      <c r="E268" s="123"/>
      <c r="F268" s="123"/>
      <c r="G268" s="123"/>
      <c r="H268" s="123"/>
      <c r="I268" s="123"/>
      <c r="J268" s="123"/>
      <c r="K268" s="124"/>
    </row>
    <row r="269" spans="3:11" ht="29.25" customHeight="1" x14ac:dyDescent="0.2"/>
    <row r="270" spans="3:11" ht="34.5" customHeight="1" x14ac:dyDescent="0.2"/>
    <row r="271" spans="3:11" ht="27" customHeight="1" x14ac:dyDescent="0.2"/>
    <row r="272" spans="3:11" ht="30.75" customHeight="1" x14ac:dyDescent="0.2"/>
    <row r="273" ht="59.25" customHeight="1" x14ac:dyDescent="0.2"/>
  </sheetData>
  <mergeCells count="39">
    <mergeCell ref="F3:I6"/>
    <mergeCell ref="A1:I1"/>
    <mergeCell ref="A4:E4"/>
    <mergeCell ref="A5:E5"/>
    <mergeCell ref="A6:E6"/>
    <mergeCell ref="A9:B9"/>
    <mergeCell ref="E9:I9"/>
    <mergeCell ref="A10:B10"/>
    <mergeCell ref="E10:I12"/>
    <mergeCell ref="A11:B11"/>
    <mergeCell ref="A12:B12"/>
    <mergeCell ref="A13:B13"/>
    <mergeCell ref="E13:I15"/>
    <mergeCell ref="A21:B21"/>
    <mergeCell ref="E21:I23"/>
    <mergeCell ref="A22:B22"/>
    <mergeCell ref="A23:B23"/>
    <mergeCell ref="A14:B14"/>
    <mergeCell ref="E18:I18"/>
    <mergeCell ref="A18:B18"/>
    <mergeCell ref="A17:I17"/>
    <mergeCell ref="A15:B15"/>
    <mergeCell ref="A19:B19"/>
    <mergeCell ref="E19:I20"/>
    <mergeCell ref="A20:B20"/>
    <mergeCell ref="E29:I31"/>
    <mergeCell ref="A30:B30"/>
    <mergeCell ref="A31:B31"/>
    <mergeCell ref="A25:I25"/>
    <mergeCell ref="A26:B26"/>
    <mergeCell ref="E26:I26"/>
    <mergeCell ref="A27:B27"/>
    <mergeCell ref="E27:I28"/>
    <mergeCell ref="A28:B28"/>
    <mergeCell ref="C262:D262"/>
    <mergeCell ref="C263:D263"/>
    <mergeCell ref="C267:D267"/>
    <mergeCell ref="C268:D268"/>
    <mergeCell ref="A29:B29"/>
  </mergeCells>
  <phoneticPr fontId="41" type="noConversion"/>
  <printOptions horizontalCentered="1"/>
  <pageMargins left="0.78740157480314965" right="0.39370078740157483" top="0.39370078740157483" bottom="0.39370078740157483" header="0.31496062992125984" footer="0.11811023622047245"/>
  <pageSetup paperSize="9" scale="45" orientation="portrait" r:id="rId1"/>
  <headerFooter>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8"/>
  <sheetViews>
    <sheetView tabSelected="1" view="pageBreakPreview" zoomScale="60" workbookViewId="0">
      <selection activeCell="G45" sqref="G45"/>
    </sheetView>
  </sheetViews>
  <sheetFormatPr defaultRowHeight="15" x14ac:dyDescent="0.2"/>
  <cols>
    <col min="1" max="1" width="10.83203125" style="145" customWidth="1"/>
    <col min="2" max="2" width="55.83203125" style="125" customWidth="1"/>
    <col min="3" max="3" width="15.83203125" style="145" customWidth="1"/>
    <col min="4" max="4" width="27.33203125" style="125" bestFit="1" customWidth="1"/>
    <col min="5" max="5" width="13.5" style="145" bestFit="1" customWidth="1"/>
    <col min="6" max="6" width="25.5" style="125" bestFit="1" customWidth="1"/>
    <col min="7" max="7" width="15.83203125" style="145" customWidth="1"/>
    <col min="8" max="8" width="26" style="125" bestFit="1" customWidth="1"/>
    <col min="9" max="9" width="15.83203125" style="145" customWidth="1"/>
    <col min="10" max="10" width="25.5" style="125" bestFit="1" customWidth="1"/>
    <col min="11" max="11" width="16.83203125" style="125" customWidth="1"/>
    <col min="12" max="12" width="15.6640625" style="125" bestFit="1" customWidth="1"/>
    <col min="13" max="248" width="9.33203125" style="125"/>
    <col min="249" max="249" width="12.1640625" style="125" customWidth="1"/>
    <col min="250" max="250" width="84.83203125" style="125" customWidth="1"/>
    <col min="251" max="251" width="12.6640625" style="125" customWidth="1"/>
    <col min="252" max="252" width="19" style="125" customWidth="1"/>
    <col min="253" max="253" width="17.5" style="125" customWidth="1"/>
    <col min="254" max="254" width="22.6640625" style="125" customWidth="1"/>
    <col min="255" max="255" width="12.6640625" style="125" customWidth="1"/>
    <col min="256" max="256" width="22.6640625" style="125" customWidth="1"/>
    <col min="257" max="257" width="12.1640625" style="125" customWidth="1"/>
    <col min="258" max="258" width="24.1640625" style="125" customWidth="1"/>
    <col min="259" max="259" width="12.1640625" style="125" customWidth="1"/>
    <col min="260" max="260" width="25.1640625" style="125" customWidth="1"/>
    <col min="261" max="261" width="12.6640625" style="125" customWidth="1"/>
    <col min="262" max="262" width="24.1640625" style="125" customWidth="1"/>
    <col min="263" max="263" width="13.1640625" style="125" customWidth="1"/>
    <col min="264" max="264" width="16.83203125" style="125" customWidth="1"/>
    <col min="265" max="504" width="9.33203125" style="125"/>
    <col min="505" max="505" width="12.1640625" style="125" customWidth="1"/>
    <col min="506" max="506" width="84.83203125" style="125" customWidth="1"/>
    <col min="507" max="507" width="12.6640625" style="125" customWidth="1"/>
    <col min="508" max="508" width="19" style="125" customWidth="1"/>
    <col min="509" max="509" width="17.5" style="125" customWidth="1"/>
    <col min="510" max="510" width="22.6640625" style="125" customWidth="1"/>
    <col min="511" max="511" width="12.6640625" style="125" customWidth="1"/>
    <col min="512" max="512" width="22.6640625" style="125" customWidth="1"/>
    <col min="513" max="513" width="12.1640625" style="125" customWidth="1"/>
    <col min="514" max="514" width="24.1640625" style="125" customWidth="1"/>
    <col min="515" max="515" width="12.1640625" style="125" customWidth="1"/>
    <col min="516" max="516" width="25.1640625" style="125" customWidth="1"/>
    <col min="517" max="517" width="12.6640625" style="125" customWidth="1"/>
    <col min="518" max="518" width="24.1640625" style="125" customWidth="1"/>
    <col min="519" max="519" width="13.1640625" style="125" customWidth="1"/>
    <col min="520" max="520" width="16.83203125" style="125" customWidth="1"/>
    <col min="521" max="760" width="9.33203125" style="125"/>
    <col min="761" max="761" width="12.1640625" style="125" customWidth="1"/>
    <col min="762" max="762" width="84.83203125" style="125" customWidth="1"/>
    <col min="763" max="763" width="12.6640625" style="125" customWidth="1"/>
    <col min="764" max="764" width="19" style="125" customWidth="1"/>
    <col min="765" max="765" width="17.5" style="125" customWidth="1"/>
    <col min="766" max="766" width="22.6640625" style="125" customWidth="1"/>
    <col min="767" max="767" width="12.6640625" style="125" customWidth="1"/>
    <col min="768" max="768" width="22.6640625" style="125" customWidth="1"/>
    <col min="769" max="769" width="12.1640625" style="125" customWidth="1"/>
    <col min="770" max="770" width="24.1640625" style="125" customWidth="1"/>
    <col min="771" max="771" width="12.1640625" style="125" customWidth="1"/>
    <col min="772" max="772" width="25.1640625" style="125" customWidth="1"/>
    <col min="773" max="773" width="12.6640625" style="125" customWidth="1"/>
    <col min="774" max="774" width="24.1640625" style="125" customWidth="1"/>
    <col min="775" max="775" width="13.1640625" style="125" customWidth="1"/>
    <col min="776" max="776" width="16.83203125" style="125" customWidth="1"/>
    <col min="777" max="1016" width="9.33203125" style="125"/>
    <col min="1017" max="1017" width="12.1640625" style="125" customWidth="1"/>
    <col min="1018" max="1018" width="84.83203125" style="125" customWidth="1"/>
    <col min="1019" max="1019" width="12.6640625" style="125" customWidth="1"/>
    <col min="1020" max="1020" width="19" style="125" customWidth="1"/>
    <col min="1021" max="1021" width="17.5" style="125" customWidth="1"/>
    <col min="1022" max="1022" width="22.6640625" style="125" customWidth="1"/>
    <col min="1023" max="1023" width="12.6640625" style="125" customWidth="1"/>
    <col min="1024" max="1024" width="22.6640625" style="125" customWidth="1"/>
    <col min="1025" max="1025" width="12.1640625" style="125" customWidth="1"/>
    <col min="1026" max="1026" width="24.1640625" style="125" customWidth="1"/>
    <col min="1027" max="1027" width="12.1640625" style="125" customWidth="1"/>
    <col min="1028" max="1028" width="25.1640625" style="125" customWidth="1"/>
    <col min="1029" max="1029" width="12.6640625" style="125" customWidth="1"/>
    <col min="1030" max="1030" width="24.1640625" style="125" customWidth="1"/>
    <col min="1031" max="1031" width="13.1640625" style="125" customWidth="1"/>
    <col min="1032" max="1032" width="16.83203125" style="125" customWidth="1"/>
    <col min="1033" max="1272" width="9.33203125" style="125"/>
    <col min="1273" max="1273" width="12.1640625" style="125" customWidth="1"/>
    <col min="1274" max="1274" width="84.83203125" style="125" customWidth="1"/>
    <col min="1275" max="1275" width="12.6640625" style="125" customWidth="1"/>
    <col min="1276" max="1276" width="19" style="125" customWidth="1"/>
    <col min="1277" max="1277" width="17.5" style="125" customWidth="1"/>
    <col min="1278" max="1278" width="22.6640625" style="125" customWidth="1"/>
    <col min="1279" max="1279" width="12.6640625" style="125" customWidth="1"/>
    <col min="1280" max="1280" width="22.6640625" style="125" customWidth="1"/>
    <col min="1281" max="1281" width="12.1640625" style="125" customWidth="1"/>
    <col min="1282" max="1282" width="24.1640625" style="125" customWidth="1"/>
    <col min="1283" max="1283" width="12.1640625" style="125" customWidth="1"/>
    <col min="1284" max="1284" width="25.1640625" style="125" customWidth="1"/>
    <col min="1285" max="1285" width="12.6640625" style="125" customWidth="1"/>
    <col min="1286" max="1286" width="24.1640625" style="125" customWidth="1"/>
    <col min="1287" max="1287" width="13.1640625" style="125" customWidth="1"/>
    <col min="1288" max="1288" width="16.83203125" style="125" customWidth="1"/>
    <col min="1289" max="1528" width="9.33203125" style="125"/>
    <col min="1529" max="1529" width="12.1640625" style="125" customWidth="1"/>
    <col min="1530" max="1530" width="84.83203125" style="125" customWidth="1"/>
    <col min="1531" max="1531" width="12.6640625" style="125" customWidth="1"/>
    <col min="1532" max="1532" width="19" style="125" customWidth="1"/>
    <col min="1533" max="1533" width="17.5" style="125" customWidth="1"/>
    <col min="1534" max="1534" width="22.6640625" style="125" customWidth="1"/>
    <col min="1535" max="1535" width="12.6640625" style="125" customWidth="1"/>
    <col min="1536" max="1536" width="22.6640625" style="125" customWidth="1"/>
    <col min="1537" max="1537" width="12.1640625" style="125" customWidth="1"/>
    <col min="1538" max="1538" width="24.1640625" style="125" customWidth="1"/>
    <col min="1539" max="1539" width="12.1640625" style="125" customWidth="1"/>
    <col min="1540" max="1540" width="25.1640625" style="125" customWidth="1"/>
    <col min="1541" max="1541" width="12.6640625" style="125" customWidth="1"/>
    <col min="1542" max="1542" width="24.1640625" style="125" customWidth="1"/>
    <col min="1543" max="1543" width="13.1640625" style="125" customWidth="1"/>
    <col min="1544" max="1544" width="16.83203125" style="125" customWidth="1"/>
    <col min="1545" max="1784" width="9.33203125" style="125"/>
    <col min="1785" max="1785" width="12.1640625" style="125" customWidth="1"/>
    <col min="1786" max="1786" width="84.83203125" style="125" customWidth="1"/>
    <col min="1787" max="1787" width="12.6640625" style="125" customWidth="1"/>
    <col min="1788" max="1788" width="19" style="125" customWidth="1"/>
    <col min="1789" max="1789" width="17.5" style="125" customWidth="1"/>
    <col min="1790" max="1790" width="22.6640625" style="125" customWidth="1"/>
    <col min="1791" max="1791" width="12.6640625" style="125" customWidth="1"/>
    <col min="1792" max="1792" width="22.6640625" style="125" customWidth="1"/>
    <col min="1793" max="1793" width="12.1640625" style="125" customWidth="1"/>
    <col min="1794" max="1794" width="24.1640625" style="125" customWidth="1"/>
    <col min="1795" max="1795" width="12.1640625" style="125" customWidth="1"/>
    <col min="1796" max="1796" width="25.1640625" style="125" customWidth="1"/>
    <col min="1797" max="1797" width="12.6640625" style="125" customWidth="1"/>
    <col min="1798" max="1798" width="24.1640625" style="125" customWidth="1"/>
    <col min="1799" max="1799" width="13.1640625" style="125" customWidth="1"/>
    <col min="1800" max="1800" width="16.83203125" style="125" customWidth="1"/>
    <col min="1801" max="2040" width="9.33203125" style="125"/>
    <col min="2041" max="2041" width="12.1640625" style="125" customWidth="1"/>
    <col min="2042" max="2042" width="84.83203125" style="125" customWidth="1"/>
    <col min="2043" max="2043" width="12.6640625" style="125" customWidth="1"/>
    <col min="2044" max="2044" width="19" style="125" customWidth="1"/>
    <col min="2045" max="2045" width="17.5" style="125" customWidth="1"/>
    <col min="2046" max="2046" width="22.6640625" style="125" customWidth="1"/>
    <col min="2047" max="2047" width="12.6640625" style="125" customWidth="1"/>
    <col min="2048" max="2048" width="22.6640625" style="125" customWidth="1"/>
    <col min="2049" max="2049" width="12.1640625" style="125" customWidth="1"/>
    <col min="2050" max="2050" width="24.1640625" style="125" customWidth="1"/>
    <col min="2051" max="2051" width="12.1640625" style="125" customWidth="1"/>
    <col min="2052" max="2052" width="25.1640625" style="125" customWidth="1"/>
    <col min="2053" max="2053" width="12.6640625" style="125" customWidth="1"/>
    <col min="2054" max="2054" width="24.1640625" style="125" customWidth="1"/>
    <col min="2055" max="2055" width="13.1640625" style="125" customWidth="1"/>
    <col min="2056" max="2056" width="16.83203125" style="125" customWidth="1"/>
    <col min="2057" max="2296" width="9.33203125" style="125"/>
    <col min="2297" max="2297" width="12.1640625" style="125" customWidth="1"/>
    <col min="2298" max="2298" width="84.83203125" style="125" customWidth="1"/>
    <col min="2299" max="2299" width="12.6640625" style="125" customWidth="1"/>
    <col min="2300" max="2300" width="19" style="125" customWidth="1"/>
    <col min="2301" max="2301" width="17.5" style="125" customWidth="1"/>
    <col min="2302" max="2302" width="22.6640625" style="125" customWidth="1"/>
    <col min="2303" max="2303" width="12.6640625" style="125" customWidth="1"/>
    <col min="2304" max="2304" width="22.6640625" style="125" customWidth="1"/>
    <col min="2305" max="2305" width="12.1640625" style="125" customWidth="1"/>
    <col min="2306" max="2306" width="24.1640625" style="125" customWidth="1"/>
    <col min="2307" max="2307" width="12.1640625" style="125" customWidth="1"/>
    <col min="2308" max="2308" width="25.1640625" style="125" customWidth="1"/>
    <col min="2309" max="2309" width="12.6640625" style="125" customWidth="1"/>
    <col min="2310" max="2310" width="24.1640625" style="125" customWidth="1"/>
    <col min="2311" max="2311" width="13.1640625" style="125" customWidth="1"/>
    <col min="2312" max="2312" width="16.83203125" style="125" customWidth="1"/>
    <col min="2313" max="2552" width="9.33203125" style="125"/>
    <col min="2553" max="2553" width="12.1640625" style="125" customWidth="1"/>
    <col min="2554" max="2554" width="84.83203125" style="125" customWidth="1"/>
    <col min="2555" max="2555" width="12.6640625" style="125" customWidth="1"/>
    <col min="2556" max="2556" width="19" style="125" customWidth="1"/>
    <col min="2557" max="2557" width="17.5" style="125" customWidth="1"/>
    <col min="2558" max="2558" width="22.6640625" style="125" customWidth="1"/>
    <col min="2559" max="2559" width="12.6640625" style="125" customWidth="1"/>
    <col min="2560" max="2560" width="22.6640625" style="125" customWidth="1"/>
    <col min="2561" max="2561" width="12.1640625" style="125" customWidth="1"/>
    <col min="2562" max="2562" width="24.1640625" style="125" customWidth="1"/>
    <col min="2563" max="2563" width="12.1640625" style="125" customWidth="1"/>
    <col min="2564" max="2564" width="25.1640625" style="125" customWidth="1"/>
    <col min="2565" max="2565" width="12.6640625" style="125" customWidth="1"/>
    <col min="2566" max="2566" width="24.1640625" style="125" customWidth="1"/>
    <col min="2567" max="2567" width="13.1640625" style="125" customWidth="1"/>
    <col min="2568" max="2568" width="16.83203125" style="125" customWidth="1"/>
    <col min="2569" max="2808" width="9.33203125" style="125"/>
    <col min="2809" max="2809" width="12.1640625" style="125" customWidth="1"/>
    <col min="2810" max="2810" width="84.83203125" style="125" customWidth="1"/>
    <col min="2811" max="2811" width="12.6640625" style="125" customWidth="1"/>
    <col min="2812" max="2812" width="19" style="125" customWidth="1"/>
    <col min="2813" max="2813" width="17.5" style="125" customWidth="1"/>
    <col min="2814" max="2814" width="22.6640625" style="125" customWidth="1"/>
    <col min="2815" max="2815" width="12.6640625" style="125" customWidth="1"/>
    <col min="2816" max="2816" width="22.6640625" style="125" customWidth="1"/>
    <col min="2817" max="2817" width="12.1640625" style="125" customWidth="1"/>
    <col min="2818" max="2818" width="24.1640625" style="125" customWidth="1"/>
    <col min="2819" max="2819" width="12.1640625" style="125" customWidth="1"/>
    <col min="2820" max="2820" width="25.1640625" style="125" customWidth="1"/>
    <col min="2821" max="2821" width="12.6640625" style="125" customWidth="1"/>
    <col min="2822" max="2822" width="24.1640625" style="125" customWidth="1"/>
    <col min="2823" max="2823" width="13.1640625" style="125" customWidth="1"/>
    <col min="2824" max="2824" width="16.83203125" style="125" customWidth="1"/>
    <col min="2825" max="3064" width="9.33203125" style="125"/>
    <col min="3065" max="3065" width="12.1640625" style="125" customWidth="1"/>
    <col min="3066" max="3066" width="84.83203125" style="125" customWidth="1"/>
    <col min="3067" max="3067" width="12.6640625" style="125" customWidth="1"/>
    <col min="3068" max="3068" width="19" style="125" customWidth="1"/>
    <col min="3069" max="3069" width="17.5" style="125" customWidth="1"/>
    <col min="3070" max="3070" width="22.6640625" style="125" customWidth="1"/>
    <col min="3071" max="3071" width="12.6640625" style="125" customWidth="1"/>
    <col min="3072" max="3072" width="22.6640625" style="125" customWidth="1"/>
    <col min="3073" max="3073" width="12.1640625" style="125" customWidth="1"/>
    <col min="3074" max="3074" width="24.1640625" style="125" customWidth="1"/>
    <col min="3075" max="3075" width="12.1640625" style="125" customWidth="1"/>
    <col min="3076" max="3076" width="25.1640625" style="125" customWidth="1"/>
    <col min="3077" max="3077" width="12.6640625" style="125" customWidth="1"/>
    <col min="3078" max="3078" width="24.1640625" style="125" customWidth="1"/>
    <col min="3079" max="3079" width="13.1640625" style="125" customWidth="1"/>
    <col min="3080" max="3080" width="16.83203125" style="125" customWidth="1"/>
    <col min="3081" max="3320" width="9.33203125" style="125"/>
    <col min="3321" max="3321" width="12.1640625" style="125" customWidth="1"/>
    <col min="3322" max="3322" width="84.83203125" style="125" customWidth="1"/>
    <col min="3323" max="3323" width="12.6640625" style="125" customWidth="1"/>
    <col min="3324" max="3324" width="19" style="125" customWidth="1"/>
    <col min="3325" max="3325" width="17.5" style="125" customWidth="1"/>
    <col min="3326" max="3326" width="22.6640625" style="125" customWidth="1"/>
    <col min="3327" max="3327" width="12.6640625" style="125" customWidth="1"/>
    <col min="3328" max="3328" width="22.6640625" style="125" customWidth="1"/>
    <col min="3329" max="3329" width="12.1640625" style="125" customWidth="1"/>
    <col min="3330" max="3330" width="24.1640625" style="125" customWidth="1"/>
    <col min="3331" max="3331" width="12.1640625" style="125" customWidth="1"/>
    <col min="3332" max="3332" width="25.1640625" style="125" customWidth="1"/>
    <col min="3333" max="3333" width="12.6640625" style="125" customWidth="1"/>
    <col min="3334" max="3334" width="24.1640625" style="125" customWidth="1"/>
    <col min="3335" max="3335" width="13.1640625" style="125" customWidth="1"/>
    <col min="3336" max="3336" width="16.83203125" style="125" customWidth="1"/>
    <col min="3337" max="3576" width="9.33203125" style="125"/>
    <col min="3577" max="3577" width="12.1640625" style="125" customWidth="1"/>
    <col min="3578" max="3578" width="84.83203125" style="125" customWidth="1"/>
    <col min="3579" max="3579" width="12.6640625" style="125" customWidth="1"/>
    <col min="3580" max="3580" width="19" style="125" customWidth="1"/>
    <col min="3581" max="3581" width="17.5" style="125" customWidth="1"/>
    <col min="3582" max="3582" width="22.6640625" style="125" customWidth="1"/>
    <col min="3583" max="3583" width="12.6640625" style="125" customWidth="1"/>
    <col min="3584" max="3584" width="22.6640625" style="125" customWidth="1"/>
    <col min="3585" max="3585" width="12.1640625" style="125" customWidth="1"/>
    <col min="3586" max="3586" width="24.1640625" style="125" customWidth="1"/>
    <col min="3587" max="3587" width="12.1640625" style="125" customWidth="1"/>
    <col min="3588" max="3588" width="25.1640625" style="125" customWidth="1"/>
    <col min="3589" max="3589" width="12.6640625" style="125" customWidth="1"/>
    <col min="3590" max="3590" width="24.1640625" style="125" customWidth="1"/>
    <col min="3591" max="3591" width="13.1640625" style="125" customWidth="1"/>
    <col min="3592" max="3592" width="16.83203125" style="125" customWidth="1"/>
    <col min="3593" max="3832" width="9.33203125" style="125"/>
    <col min="3833" max="3833" width="12.1640625" style="125" customWidth="1"/>
    <col min="3834" max="3834" width="84.83203125" style="125" customWidth="1"/>
    <col min="3835" max="3835" width="12.6640625" style="125" customWidth="1"/>
    <col min="3836" max="3836" width="19" style="125" customWidth="1"/>
    <col min="3837" max="3837" width="17.5" style="125" customWidth="1"/>
    <col min="3838" max="3838" width="22.6640625" style="125" customWidth="1"/>
    <col min="3839" max="3839" width="12.6640625" style="125" customWidth="1"/>
    <col min="3840" max="3840" width="22.6640625" style="125" customWidth="1"/>
    <col min="3841" max="3841" width="12.1640625" style="125" customWidth="1"/>
    <col min="3842" max="3842" width="24.1640625" style="125" customWidth="1"/>
    <col min="3843" max="3843" width="12.1640625" style="125" customWidth="1"/>
    <col min="3844" max="3844" width="25.1640625" style="125" customWidth="1"/>
    <col min="3845" max="3845" width="12.6640625" style="125" customWidth="1"/>
    <col min="3846" max="3846" width="24.1640625" style="125" customWidth="1"/>
    <col min="3847" max="3847" width="13.1640625" style="125" customWidth="1"/>
    <col min="3848" max="3848" width="16.83203125" style="125" customWidth="1"/>
    <col min="3849" max="4088" width="9.33203125" style="125"/>
    <col min="4089" max="4089" width="12.1640625" style="125" customWidth="1"/>
    <col min="4090" max="4090" width="84.83203125" style="125" customWidth="1"/>
    <col min="4091" max="4091" width="12.6640625" style="125" customWidth="1"/>
    <col min="4092" max="4092" width="19" style="125" customWidth="1"/>
    <col min="4093" max="4093" width="17.5" style="125" customWidth="1"/>
    <col min="4094" max="4094" width="22.6640625" style="125" customWidth="1"/>
    <col min="4095" max="4095" width="12.6640625" style="125" customWidth="1"/>
    <col min="4096" max="4096" width="22.6640625" style="125" customWidth="1"/>
    <col min="4097" max="4097" width="12.1640625" style="125" customWidth="1"/>
    <col min="4098" max="4098" width="24.1640625" style="125" customWidth="1"/>
    <col min="4099" max="4099" width="12.1640625" style="125" customWidth="1"/>
    <col min="4100" max="4100" width="25.1640625" style="125" customWidth="1"/>
    <col min="4101" max="4101" width="12.6640625" style="125" customWidth="1"/>
    <col min="4102" max="4102" width="24.1640625" style="125" customWidth="1"/>
    <col min="4103" max="4103" width="13.1640625" style="125" customWidth="1"/>
    <col min="4104" max="4104" width="16.83203125" style="125" customWidth="1"/>
    <col min="4105" max="4344" width="9.33203125" style="125"/>
    <col min="4345" max="4345" width="12.1640625" style="125" customWidth="1"/>
    <col min="4346" max="4346" width="84.83203125" style="125" customWidth="1"/>
    <col min="4347" max="4347" width="12.6640625" style="125" customWidth="1"/>
    <col min="4348" max="4348" width="19" style="125" customWidth="1"/>
    <col min="4349" max="4349" width="17.5" style="125" customWidth="1"/>
    <col min="4350" max="4350" width="22.6640625" style="125" customWidth="1"/>
    <col min="4351" max="4351" width="12.6640625" style="125" customWidth="1"/>
    <col min="4352" max="4352" width="22.6640625" style="125" customWidth="1"/>
    <col min="4353" max="4353" width="12.1640625" style="125" customWidth="1"/>
    <col min="4354" max="4354" width="24.1640625" style="125" customWidth="1"/>
    <col min="4355" max="4355" width="12.1640625" style="125" customWidth="1"/>
    <col min="4356" max="4356" width="25.1640625" style="125" customWidth="1"/>
    <col min="4357" max="4357" width="12.6640625" style="125" customWidth="1"/>
    <col min="4358" max="4358" width="24.1640625" style="125" customWidth="1"/>
    <col min="4359" max="4359" width="13.1640625" style="125" customWidth="1"/>
    <col min="4360" max="4360" width="16.83203125" style="125" customWidth="1"/>
    <col min="4361" max="4600" width="9.33203125" style="125"/>
    <col min="4601" max="4601" width="12.1640625" style="125" customWidth="1"/>
    <col min="4602" max="4602" width="84.83203125" style="125" customWidth="1"/>
    <col min="4603" max="4603" width="12.6640625" style="125" customWidth="1"/>
    <col min="4604" max="4604" width="19" style="125" customWidth="1"/>
    <col min="4605" max="4605" width="17.5" style="125" customWidth="1"/>
    <col min="4606" max="4606" width="22.6640625" style="125" customWidth="1"/>
    <col min="4607" max="4607" width="12.6640625" style="125" customWidth="1"/>
    <col min="4608" max="4608" width="22.6640625" style="125" customWidth="1"/>
    <col min="4609" max="4609" width="12.1640625" style="125" customWidth="1"/>
    <col min="4610" max="4610" width="24.1640625" style="125" customWidth="1"/>
    <col min="4611" max="4611" width="12.1640625" style="125" customWidth="1"/>
    <col min="4612" max="4612" width="25.1640625" style="125" customWidth="1"/>
    <col min="4613" max="4613" width="12.6640625" style="125" customWidth="1"/>
    <col min="4614" max="4614" width="24.1640625" style="125" customWidth="1"/>
    <col min="4615" max="4615" width="13.1640625" style="125" customWidth="1"/>
    <col min="4616" max="4616" width="16.83203125" style="125" customWidth="1"/>
    <col min="4617" max="4856" width="9.33203125" style="125"/>
    <col min="4857" max="4857" width="12.1640625" style="125" customWidth="1"/>
    <col min="4858" max="4858" width="84.83203125" style="125" customWidth="1"/>
    <col min="4859" max="4859" width="12.6640625" style="125" customWidth="1"/>
    <col min="4860" max="4860" width="19" style="125" customWidth="1"/>
    <col min="4861" max="4861" width="17.5" style="125" customWidth="1"/>
    <col min="4862" max="4862" width="22.6640625" style="125" customWidth="1"/>
    <col min="4863" max="4863" width="12.6640625" style="125" customWidth="1"/>
    <col min="4864" max="4864" width="22.6640625" style="125" customWidth="1"/>
    <col min="4865" max="4865" width="12.1640625" style="125" customWidth="1"/>
    <col min="4866" max="4866" width="24.1640625" style="125" customWidth="1"/>
    <col min="4867" max="4867" width="12.1640625" style="125" customWidth="1"/>
    <col min="4868" max="4868" width="25.1640625" style="125" customWidth="1"/>
    <col min="4869" max="4869" width="12.6640625" style="125" customWidth="1"/>
    <col min="4870" max="4870" width="24.1640625" style="125" customWidth="1"/>
    <col min="4871" max="4871" width="13.1640625" style="125" customWidth="1"/>
    <col min="4872" max="4872" width="16.83203125" style="125" customWidth="1"/>
    <col min="4873" max="5112" width="9.33203125" style="125"/>
    <col min="5113" max="5113" width="12.1640625" style="125" customWidth="1"/>
    <col min="5114" max="5114" width="84.83203125" style="125" customWidth="1"/>
    <col min="5115" max="5115" width="12.6640625" style="125" customWidth="1"/>
    <col min="5116" max="5116" width="19" style="125" customWidth="1"/>
    <col min="5117" max="5117" width="17.5" style="125" customWidth="1"/>
    <col min="5118" max="5118" width="22.6640625" style="125" customWidth="1"/>
    <col min="5119" max="5119" width="12.6640625" style="125" customWidth="1"/>
    <col min="5120" max="5120" width="22.6640625" style="125" customWidth="1"/>
    <col min="5121" max="5121" width="12.1640625" style="125" customWidth="1"/>
    <col min="5122" max="5122" width="24.1640625" style="125" customWidth="1"/>
    <col min="5123" max="5123" width="12.1640625" style="125" customWidth="1"/>
    <col min="5124" max="5124" width="25.1640625" style="125" customWidth="1"/>
    <col min="5125" max="5125" width="12.6640625" style="125" customWidth="1"/>
    <col min="5126" max="5126" width="24.1640625" style="125" customWidth="1"/>
    <col min="5127" max="5127" width="13.1640625" style="125" customWidth="1"/>
    <col min="5128" max="5128" width="16.83203125" style="125" customWidth="1"/>
    <col min="5129" max="5368" width="9.33203125" style="125"/>
    <col min="5369" max="5369" width="12.1640625" style="125" customWidth="1"/>
    <col min="5370" max="5370" width="84.83203125" style="125" customWidth="1"/>
    <col min="5371" max="5371" width="12.6640625" style="125" customWidth="1"/>
    <col min="5372" max="5372" width="19" style="125" customWidth="1"/>
    <col min="5373" max="5373" width="17.5" style="125" customWidth="1"/>
    <col min="5374" max="5374" width="22.6640625" style="125" customWidth="1"/>
    <col min="5375" max="5375" width="12.6640625" style="125" customWidth="1"/>
    <col min="5376" max="5376" width="22.6640625" style="125" customWidth="1"/>
    <col min="5377" max="5377" width="12.1640625" style="125" customWidth="1"/>
    <col min="5378" max="5378" width="24.1640625" style="125" customWidth="1"/>
    <col min="5379" max="5379" width="12.1640625" style="125" customWidth="1"/>
    <col min="5380" max="5380" width="25.1640625" style="125" customWidth="1"/>
    <col min="5381" max="5381" width="12.6640625" style="125" customWidth="1"/>
    <col min="5382" max="5382" width="24.1640625" style="125" customWidth="1"/>
    <col min="5383" max="5383" width="13.1640625" style="125" customWidth="1"/>
    <col min="5384" max="5384" width="16.83203125" style="125" customWidth="1"/>
    <col min="5385" max="5624" width="9.33203125" style="125"/>
    <col min="5625" max="5625" width="12.1640625" style="125" customWidth="1"/>
    <col min="5626" max="5626" width="84.83203125" style="125" customWidth="1"/>
    <col min="5627" max="5627" width="12.6640625" style="125" customWidth="1"/>
    <col min="5628" max="5628" width="19" style="125" customWidth="1"/>
    <col min="5629" max="5629" width="17.5" style="125" customWidth="1"/>
    <col min="5630" max="5630" width="22.6640625" style="125" customWidth="1"/>
    <col min="5631" max="5631" width="12.6640625" style="125" customWidth="1"/>
    <col min="5632" max="5632" width="22.6640625" style="125" customWidth="1"/>
    <col min="5633" max="5633" width="12.1640625" style="125" customWidth="1"/>
    <col min="5634" max="5634" width="24.1640625" style="125" customWidth="1"/>
    <col min="5635" max="5635" width="12.1640625" style="125" customWidth="1"/>
    <col min="5636" max="5636" width="25.1640625" style="125" customWidth="1"/>
    <col min="5637" max="5637" width="12.6640625" style="125" customWidth="1"/>
    <col min="5638" max="5638" width="24.1640625" style="125" customWidth="1"/>
    <col min="5639" max="5639" width="13.1640625" style="125" customWidth="1"/>
    <col min="5640" max="5640" width="16.83203125" style="125" customWidth="1"/>
    <col min="5641" max="5880" width="9.33203125" style="125"/>
    <col min="5881" max="5881" width="12.1640625" style="125" customWidth="1"/>
    <col min="5882" max="5882" width="84.83203125" style="125" customWidth="1"/>
    <col min="5883" max="5883" width="12.6640625" style="125" customWidth="1"/>
    <col min="5884" max="5884" width="19" style="125" customWidth="1"/>
    <col min="5885" max="5885" width="17.5" style="125" customWidth="1"/>
    <col min="5886" max="5886" width="22.6640625" style="125" customWidth="1"/>
    <col min="5887" max="5887" width="12.6640625" style="125" customWidth="1"/>
    <col min="5888" max="5888" width="22.6640625" style="125" customWidth="1"/>
    <col min="5889" max="5889" width="12.1640625" style="125" customWidth="1"/>
    <col min="5890" max="5890" width="24.1640625" style="125" customWidth="1"/>
    <col min="5891" max="5891" width="12.1640625" style="125" customWidth="1"/>
    <col min="5892" max="5892" width="25.1640625" style="125" customWidth="1"/>
    <col min="5893" max="5893" width="12.6640625" style="125" customWidth="1"/>
    <col min="5894" max="5894" width="24.1640625" style="125" customWidth="1"/>
    <col min="5895" max="5895" width="13.1640625" style="125" customWidth="1"/>
    <col min="5896" max="5896" width="16.83203125" style="125" customWidth="1"/>
    <col min="5897" max="6136" width="9.33203125" style="125"/>
    <col min="6137" max="6137" width="12.1640625" style="125" customWidth="1"/>
    <col min="6138" max="6138" width="84.83203125" style="125" customWidth="1"/>
    <col min="6139" max="6139" width="12.6640625" style="125" customWidth="1"/>
    <col min="6140" max="6140" width="19" style="125" customWidth="1"/>
    <col min="6141" max="6141" width="17.5" style="125" customWidth="1"/>
    <col min="6142" max="6142" width="22.6640625" style="125" customWidth="1"/>
    <col min="6143" max="6143" width="12.6640625" style="125" customWidth="1"/>
    <col min="6144" max="6144" width="22.6640625" style="125" customWidth="1"/>
    <col min="6145" max="6145" width="12.1640625" style="125" customWidth="1"/>
    <col min="6146" max="6146" width="24.1640625" style="125" customWidth="1"/>
    <col min="6147" max="6147" width="12.1640625" style="125" customWidth="1"/>
    <col min="6148" max="6148" width="25.1640625" style="125" customWidth="1"/>
    <col min="6149" max="6149" width="12.6640625" style="125" customWidth="1"/>
    <col min="6150" max="6150" width="24.1640625" style="125" customWidth="1"/>
    <col min="6151" max="6151" width="13.1640625" style="125" customWidth="1"/>
    <col min="6152" max="6152" width="16.83203125" style="125" customWidth="1"/>
    <col min="6153" max="6392" width="9.33203125" style="125"/>
    <col min="6393" max="6393" width="12.1640625" style="125" customWidth="1"/>
    <col min="6394" max="6394" width="84.83203125" style="125" customWidth="1"/>
    <col min="6395" max="6395" width="12.6640625" style="125" customWidth="1"/>
    <col min="6396" max="6396" width="19" style="125" customWidth="1"/>
    <col min="6397" max="6397" width="17.5" style="125" customWidth="1"/>
    <col min="6398" max="6398" width="22.6640625" style="125" customWidth="1"/>
    <col min="6399" max="6399" width="12.6640625" style="125" customWidth="1"/>
    <col min="6400" max="6400" width="22.6640625" style="125" customWidth="1"/>
    <col min="6401" max="6401" width="12.1640625" style="125" customWidth="1"/>
    <col min="6402" max="6402" width="24.1640625" style="125" customWidth="1"/>
    <col min="6403" max="6403" width="12.1640625" style="125" customWidth="1"/>
    <col min="6404" max="6404" width="25.1640625" style="125" customWidth="1"/>
    <col min="6405" max="6405" width="12.6640625" style="125" customWidth="1"/>
    <col min="6406" max="6406" width="24.1640625" style="125" customWidth="1"/>
    <col min="6407" max="6407" width="13.1640625" style="125" customWidth="1"/>
    <col min="6408" max="6408" width="16.83203125" style="125" customWidth="1"/>
    <col min="6409" max="6648" width="9.33203125" style="125"/>
    <col min="6649" max="6649" width="12.1640625" style="125" customWidth="1"/>
    <col min="6650" max="6650" width="84.83203125" style="125" customWidth="1"/>
    <col min="6651" max="6651" width="12.6640625" style="125" customWidth="1"/>
    <col min="6652" max="6652" width="19" style="125" customWidth="1"/>
    <col min="6653" max="6653" width="17.5" style="125" customWidth="1"/>
    <col min="6654" max="6654" width="22.6640625" style="125" customWidth="1"/>
    <col min="6655" max="6655" width="12.6640625" style="125" customWidth="1"/>
    <col min="6656" max="6656" width="22.6640625" style="125" customWidth="1"/>
    <col min="6657" max="6657" width="12.1640625" style="125" customWidth="1"/>
    <col min="6658" max="6658" width="24.1640625" style="125" customWidth="1"/>
    <col min="6659" max="6659" width="12.1640625" style="125" customWidth="1"/>
    <col min="6660" max="6660" width="25.1640625" style="125" customWidth="1"/>
    <col min="6661" max="6661" width="12.6640625" style="125" customWidth="1"/>
    <col min="6662" max="6662" width="24.1640625" style="125" customWidth="1"/>
    <col min="6663" max="6663" width="13.1640625" style="125" customWidth="1"/>
    <col min="6664" max="6664" width="16.83203125" style="125" customWidth="1"/>
    <col min="6665" max="6904" width="9.33203125" style="125"/>
    <col min="6905" max="6905" width="12.1640625" style="125" customWidth="1"/>
    <col min="6906" max="6906" width="84.83203125" style="125" customWidth="1"/>
    <col min="6907" max="6907" width="12.6640625" style="125" customWidth="1"/>
    <col min="6908" max="6908" width="19" style="125" customWidth="1"/>
    <col min="6909" max="6909" width="17.5" style="125" customWidth="1"/>
    <col min="6910" max="6910" width="22.6640625" style="125" customWidth="1"/>
    <col min="6911" max="6911" width="12.6640625" style="125" customWidth="1"/>
    <col min="6912" max="6912" width="22.6640625" style="125" customWidth="1"/>
    <col min="6913" max="6913" width="12.1640625" style="125" customWidth="1"/>
    <col min="6914" max="6914" width="24.1640625" style="125" customWidth="1"/>
    <col min="6915" max="6915" width="12.1640625" style="125" customWidth="1"/>
    <col min="6916" max="6916" width="25.1640625" style="125" customWidth="1"/>
    <col min="6917" max="6917" width="12.6640625" style="125" customWidth="1"/>
    <col min="6918" max="6918" width="24.1640625" style="125" customWidth="1"/>
    <col min="6919" max="6919" width="13.1640625" style="125" customWidth="1"/>
    <col min="6920" max="6920" width="16.83203125" style="125" customWidth="1"/>
    <col min="6921" max="7160" width="9.33203125" style="125"/>
    <col min="7161" max="7161" width="12.1640625" style="125" customWidth="1"/>
    <col min="7162" max="7162" width="84.83203125" style="125" customWidth="1"/>
    <col min="7163" max="7163" width="12.6640625" style="125" customWidth="1"/>
    <col min="7164" max="7164" width="19" style="125" customWidth="1"/>
    <col min="7165" max="7165" width="17.5" style="125" customWidth="1"/>
    <col min="7166" max="7166" width="22.6640625" style="125" customWidth="1"/>
    <col min="7167" max="7167" width="12.6640625" style="125" customWidth="1"/>
    <col min="7168" max="7168" width="22.6640625" style="125" customWidth="1"/>
    <col min="7169" max="7169" width="12.1640625" style="125" customWidth="1"/>
    <col min="7170" max="7170" width="24.1640625" style="125" customWidth="1"/>
    <col min="7171" max="7171" width="12.1640625" style="125" customWidth="1"/>
    <col min="7172" max="7172" width="25.1640625" style="125" customWidth="1"/>
    <col min="7173" max="7173" width="12.6640625" style="125" customWidth="1"/>
    <col min="7174" max="7174" width="24.1640625" style="125" customWidth="1"/>
    <col min="7175" max="7175" width="13.1640625" style="125" customWidth="1"/>
    <col min="7176" max="7176" width="16.83203125" style="125" customWidth="1"/>
    <col min="7177" max="7416" width="9.33203125" style="125"/>
    <col min="7417" max="7417" width="12.1640625" style="125" customWidth="1"/>
    <col min="7418" max="7418" width="84.83203125" style="125" customWidth="1"/>
    <col min="7419" max="7419" width="12.6640625" style="125" customWidth="1"/>
    <col min="7420" max="7420" width="19" style="125" customWidth="1"/>
    <col min="7421" max="7421" width="17.5" style="125" customWidth="1"/>
    <col min="7422" max="7422" width="22.6640625" style="125" customWidth="1"/>
    <col min="7423" max="7423" width="12.6640625" style="125" customWidth="1"/>
    <col min="7424" max="7424" width="22.6640625" style="125" customWidth="1"/>
    <col min="7425" max="7425" width="12.1640625" style="125" customWidth="1"/>
    <col min="7426" max="7426" width="24.1640625" style="125" customWidth="1"/>
    <col min="7427" max="7427" width="12.1640625" style="125" customWidth="1"/>
    <col min="7428" max="7428" width="25.1640625" style="125" customWidth="1"/>
    <col min="7429" max="7429" width="12.6640625" style="125" customWidth="1"/>
    <col min="7430" max="7430" width="24.1640625" style="125" customWidth="1"/>
    <col min="7431" max="7431" width="13.1640625" style="125" customWidth="1"/>
    <col min="7432" max="7432" width="16.83203125" style="125" customWidth="1"/>
    <col min="7433" max="7672" width="9.33203125" style="125"/>
    <col min="7673" max="7673" width="12.1640625" style="125" customWidth="1"/>
    <col min="7674" max="7674" width="84.83203125" style="125" customWidth="1"/>
    <col min="7675" max="7675" width="12.6640625" style="125" customWidth="1"/>
    <col min="7676" max="7676" width="19" style="125" customWidth="1"/>
    <col min="7677" max="7677" width="17.5" style="125" customWidth="1"/>
    <col min="7678" max="7678" width="22.6640625" style="125" customWidth="1"/>
    <col min="7679" max="7679" width="12.6640625" style="125" customWidth="1"/>
    <col min="7680" max="7680" width="22.6640625" style="125" customWidth="1"/>
    <col min="7681" max="7681" width="12.1640625" style="125" customWidth="1"/>
    <col min="7682" max="7682" width="24.1640625" style="125" customWidth="1"/>
    <col min="7683" max="7683" width="12.1640625" style="125" customWidth="1"/>
    <col min="7684" max="7684" width="25.1640625" style="125" customWidth="1"/>
    <col min="7685" max="7685" width="12.6640625" style="125" customWidth="1"/>
    <col min="7686" max="7686" width="24.1640625" style="125" customWidth="1"/>
    <col min="7687" max="7687" width="13.1640625" style="125" customWidth="1"/>
    <col min="7688" max="7688" width="16.83203125" style="125" customWidth="1"/>
    <col min="7689" max="7928" width="9.33203125" style="125"/>
    <col min="7929" max="7929" width="12.1640625" style="125" customWidth="1"/>
    <col min="7930" max="7930" width="84.83203125" style="125" customWidth="1"/>
    <col min="7931" max="7931" width="12.6640625" style="125" customWidth="1"/>
    <col min="7932" max="7932" width="19" style="125" customWidth="1"/>
    <col min="7933" max="7933" width="17.5" style="125" customWidth="1"/>
    <col min="7934" max="7934" width="22.6640625" style="125" customWidth="1"/>
    <col min="7935" max="7935" width="12.6640625" style="125" customWidth="1"/>
    <col min="7936" max="7936" width="22.6640625" style="125" customWidth="1"/>
    <col min="7937" max="7937" width="12.1640625" style="125" customWidth="1"/>
    <col min="7938" max="7938" width="24.1640625" style="125" customWidth="1"/>
    <col min="7939" max="7939" width="12.1640625" style="125" customWidth="1"/>
    <col min="7940" max="7940" width="25.1640625" style="125" customWidth="1"/>
    <col min="7941" max="7941" width="12.6640625" style="125" customWidth="1"/>
    <col min="7942" max="7942" width="24.1640625" style="125" customWidth="1"/>
    <col min="7943" max="7943" width="13.1640625" style="125" customWidth="1"/>
    <col min="7944" max="7944" width="16.83203125" style="125" customWidth="1"/>
    <col min="7945" max="8184" width="9.33203125" style="125"/>
    <col min="8185" max="8185" width="12.1640625" style="125" customWidth="1"/>
    <col min="8186" max="8186" width="84.83203125" style="125" customWidth="1"/>
    <col min="8187" max="8187" width="12.6640625" style="125" customWidth="1"/>
    <col min="8188" max="8188" width="19" style="125" customWidth="1"/>
    <col min="8189" max="8189" width="17.5" style="125" customWidth="1"/>
    <col min="8190" max="8190" width="22.6640625" style="125" customWidth="1"/>
    <col min="8191" max="8191" width="12.6640625" style="125" customWidth="1"/>
    <col min="8192" max="8192" width="22.6640625" style="125" customWidth="1"/>
    <col min="8193" max="8193" width="12.1640625" style="125" customWidth="1"/>
    <col min="8194" max="8194" width="24.1640625" style="125" customWidth="1"/>
    <col min="8195" max="8195" width="12.1640625" style="125" customWidth="1"/>
    <col min="8196" max="8196" width="25.1640625" style="125" customWidth="1"/>
    <col min="8197" max="8197" width="12.6640625" style="125" customWidth="1"/>
    <col min="8198" max="8198" width="24.1640625" style="125" customWidth="1"/>
    <col min="8199" max="8199" width="13.1640625" style="125" customWidth="1"/>
    <col min="8200" max="8200" width="16.83203125" style="125" customWidth="1"/>
    <col min="8201" max="8440" width="9.33203125" style="125"/>
    <col min="8441" max="8441" width="12.1640625" style="125" customWidth="1"/>
    <col min="8442" max="8442" width="84.83203125" style="125" customWidth="1"/>
    <col min="8443" max="8443" width="12.6640625" style="125" customWidth="1"/>
    <col min="8444" max="8444" width="19" style="125" customWidth="1"/>
    <col min="8445" max="8445" width="17.5" style="125" customWidth="1"/>
    <col min="8446" max="8446" width="22.6640625" style="125" customWidth="1"/>
    <col min="8447" max="8447" width="12.6640625" style="125" customWidth="1"/>
    <col min="8448" max="8448" width="22.6640625" style="125" customWidth="1"/>
    <col min="8449" max="8449" width="12.1640625" style="125" customWidth="1"/>
    <col min="8450" max="8450" width="24.1640625" style="125" customWidth="1"/>
    <col min="8451" max="8451" width="12.1640625" style="125" customWidth="1"/>
    <col min="8452" max="8452" width="25.1640625" style="125" customWidth="1"/>
    <col min="8453" max="8453" width="12.6640625" style="125" customWidth="1"/>
    <col min="8454" max="8454" width="24.1640625" style="125" customWidth="1"/>
    <col min="8455" max="8455" width="13.1640625" style="125" customWidth="1"/>
    <col min="8456" max="8456" width="16.83203125" style="125" customWidth="1"/>
    <col min="8457" max="8696" width="9.33203125" style="125"/>
    <col min="8697" max="8697" width="12.1640625" style="125" customWidth="1"/>
    <col min="8698" max="8698" width="84.83203125" style="125" customWidth="1"/>
    <col min="8699" max="8699" width="12.6640625" style="125" customWidth="1"/>
    <col min="8700" max="8700" width="19" style="125" customWidth="1"/>
    <col min="8701" max="8701" width="17.5" style="125" customWidth="1"/>
    <col min="8702" max="8702" width="22.6640625" style="125" customWidth="1"/>
    <col min="8703" max="8703" width="12.6640625" style="125" customWidth="1"/>
    <col min="8704" max="8704" width="22.6640625" style="125" customWidth="1"/>
    <col min="8705" max="8705" width="12.1640625" style="125" customWidth="1"/>
    <col min="8706" max="8706" width="24.1640625" style="125" customWidth="1"/>
    <col min="8707" max="8707" width="12.1640625" style="125" customWidth="1"/>
    <col min="8708" max="8708" width="25.1640625" style="125" customWidth="1"/>
    <col min="8709" max="8709" width="12.6640625" style="125" customWidth="1"/>
    <col min="8710" max="8710" width="24.1640625" style="125" customWidth="1"/>
    <col min="8711" max="8711" width="13.1640625" style="125" customWidth="1"/>
    <col min="8712" max="8712" width="16.83203125" style="125" customWidth="1"/>
    <col min="8713" max="8952" width="9.33203125" style="125"/>
    <col min="8953" max="8953" width="12.1640625" style="125" customWidth="1"/>
    <col min="8954" max="8954" width="84.83203125" style="125" customWidth="1"/>
    <col min="8955" max="8955" width="12.6640625" style="125" customWidth="1"/>
    <col min="8956" max="8956" width="19" style="125" customWidth="1"/>
    <col min="8957" max="8957" width="17.5" style="125" customWidth="1"/>
    <col min="8958" max="8958" width="22.6640625" style="125" customWidth="1"/>
    <col min="8959" max="8959" width="12.6640625" style="125" customWidth="1"/>
    <col min="8960" max="8960" width="22.6640625" style="125" customWidth="1"/>
    <col min="8961" max="8961" width="12.1640625" style="125" customWidth="1"/>
    <col min="8962" max="8962" width="24.1640625" style="125" customWidth="1"/>
    <col min="8963" max="8963" width="12.1640625" style="125" customWidth="1"/>
    <col min="8964" max="8964" width="25.1640625" style="125" customWidth="1"/>
    <col min="8965" max="8965" width="12.6640625" style="125" customWidth="1"/>
    <col min="8966" max="8966" width="24.1640625" style="125" customWidth="1"/>
    <col min="8967" max="8967" width="13.1640625" style="125" customWidth="1"/>
    <col min="8968" max="8968" width="16.83203125" style="125" customWidth="1"/>
    <col min="8969" max="9208" width="9.33203125" style="125"/>
    <col min="9209" max="9209" width="12.1640625" style="125" customWidth="1"/>
    <col min="9210" max="9210" width="84.83203125" style="125" customWidth="1"/>
    <col min="9211" max="9211" width="12.6640625" style="125" customWidth="1"/>
    <col min="9212" max="9212" width="19" style="125" customWidth="1"/>
    <col min="9213" max="9213" width="17.5" style="125" customWidth="1"/>
    <col min="9214" max="9214" width="22.6640625" style="125" customWidth="1"/>
    <col min="9215" max="9215" width="12.6640625" style="125" customWidth="1"/>
    <col min="9216" max="9216" width="22.6640625" style="125" customWidth="1"/>
    <col min="9217" max="9217" width="12.1640625" style="125" customWidth="1"/>
    <col min="9218" max="9218" width="24.1640625" style="125" customWidth="1"/>
    <col min="9219" max="9219" width="12.1640625" style="125" customWidth="1"/>
    <col min="9220" max="9220" width="25.1640625" style="125" customWidth="1"/>
    <col min="9221" max="9221" width="12.6640625" style="125" customWidth="1"/>
    <col min="9222" max="9222" width="24.1640625" style="125" customWidth="1"/>
    <col min="9223" max="9223" width="13.1640625" style="125" customWidth="1"/>
    <col min="9224" max="9224" width="16.83203125" style="125" customWidth="1"/>
    <col min="9225" max="9464" width="9.33203125" style="125"/>
    <col min="9465" max="9465" width="12.1640625" style="125" customWidth="1"/>
    <col min="9466" max="9466" width="84.83203125" style="125" customWidth="1"/>
    <col min="9467" max="9467" width="12.6640625" style="125" customWidth="1"/>
    <col min="9468" max="9468" width="19" style="125" customWidth="1"/>
    <col min="9469" max="9469" width="17.5" style="125" customWidth="1"/>
    <col min="9470" max="9470" width="22.6640625" style="125" customWidth="1"/>
    <col min="9471" max="9471" width="12.6640625" style="125" customWidth="1"/>
    <col min="9472" max="9472" width="22.6640625" style="125" customWidth="1"/>
    <col min="9473" max="9473" width="12.1640625" style="125" customWidth="1"/>
    <col min="9474" max="9474" width="24.1640625" style="125" customWidth="1"/>
    <col min="9475" max="9475" width="12.1640625" style="125" customWidth="1"/>
    <col min="9476" max="9476" width="25.1640625" style="125" customWidth="1"/>
    <col min="9477" max="9477" width="12.6640625" style="125" customWidth="1"/>
    <col min="9478" max="9478" width="24.1640625" style="125" customWidth="1"/>
    <col min="9479" max="9479" width="13.1640625" style="125" customWidth="1"/>
    <col min="9480" max="9480" width="16.83203125" style="125" customWidth="1"/>
    <col min="9481" max="9720" width="9.33203125" style="125"/>
    <col min="9721" max="9721" width="12.1640625" style="125" customWidth="1"/>
    <col min="9722" max="9722" width="84.83203125" style="125" customWidth="1"/>
    <col min="9723" max="9723" width="12.6640625" style="125" customWidth="1"/>
    <col min="9724" max="9724" width="19" style="125" customWidth="1"/>
    <col min="9725" max="9725" width="17.5" style="125" customWidth="1"/>
    <col min="9726" max="9726" width="22.6640625" style="125" customWidth="1"/>
    <col min="9727" max="9727" width="12.6640625" style="125" customWidth="1"/>
    <col min="9728" max="9728" width="22.6640625" style="125" customWidth="1"/>
    <col min="9729" max="9729" width="12.1640625" style="125" customWidth="1"/>
    <col min="9730" max="9730" width="24.1640625" style="125" customWidth="1"/>
    <col min="9731" max="9731" width="12.1640625" style="125" customWidth="1"/>
    <col min="9732" max="9732" width="25.1640625" style="125" customWidth="1"/>
    <col min="9733" max="9733" width="12.6640625" style="125" customWidth="1"/>
    <col min="9734" max="9734" width="24.1640625" style="125" customWidth="1"/>
    <col min="9735" max="9735" width="13.1640625" style="125" customWidth="1"/>
    <col min="9736" max="9736" width="16.83203125" style="125" customWidth="1"/>
    <col min="9737" max="9976" width="9.33203125" style="125"/>
    <col min="9977" max="9977" width="12.1640625" style="125" customWidth="1"/>
    <col min="9978" max="9978" width="84.83203125" style="125" customWidth="1"/>
    <col min="9979" max="9979" width="12.6640625" style="125" customWidth="1"/>
    <col min="9980" max="9980" width="19" style="125" customWidth="1"/>
    <col min="9981" max="9981" width="17.5" style="125" customWidth="1"/>
    <col min="9982" max="9982" width="22.6640625" style="125" customWidth="1"/>
    <col min="9983" max="9983" width="12.6640625" style="125" customWidth="1"/>
    <col min="9984" max="9984" width="22.6640625" style="125" customWidth="1"/>
    <col min="9985" max="9985" width="12.1640625" style="125" customWidth="1"/>
    <col min="9986" max="9986" width="24.1640625" style="125" customWidth="1"/>
    <col min="9987" max="9987" width="12.1640625" style="125" customWidth="1"/>
    <col min="9988" max="9988" width="25.1640625" style="125" customWidth="1"/>
    <col min="9989" max="9989" width="12.6640625" style="125" customWidth="1"/>
    <col min="9990" max="9990" width="24.1640625" style="125" customWidth="1"/>
    <col min="9991" max="9991" width="13.1640625" style="125" customWidth="1"/>
    <col min="9992" max="9992" width="16.83203125" style="125" customWidth="1"/>
    <col min="9993" max="10232" width="9.33203125" style="125"/>
    <col min="10233" max="10233" width="12.1640625" style="125" customWidth="1"/>
    <col min="10234" max="10234" width="84.83203125" style="125" customWidth="1"/>
    <col min="10235" max="10235" width="12.6640625" style="125" customWidth="1"/>
    <col min="10236" max="10236" width="19" style="125" customWidth="1"/>
    <col min="10237" max="10237" width="17.5" style="125" customWidth="1"/>
    <col min="10238" max="10238" width="22.6640625" style="125" customWidth="1"/>
    <col min="10239" max="10239" width="12.6640625" style="125" customWidth="1"/>
    <col min="10240" max="10240" width="22.6640625" style="125" customWidth="1"/>
    <col min="10241" max="10241" width="12.1640625" style="125" customWidth="1"/>
    <col min="10242" max="10242" width="24.1640625" style="125" customWidth="1"/>
    <col min="10243" max="10243" width="12.1640625" style="125" customWidth="1"/>
    <col min="10244" max="10244" width="25.1640625" style="125" customWidth="1"/>
    <col min="10245" max="10245" width="12.6640625" style="125" customWidth="1"/>
    <col min="10246" max="10246" width="24.1640625" style="125" customWidth="1"/>
    <col min="10247" max="10247" width="13.1640625" style="125" customWidth="1"/>
    <col min="10248" max="10248" width="16.83203125" style="125" customWidth="1"/>
    <col min="10249" max="10488" width="9.33203125" style="125"/>
    <col min="10489" max="10489" width="12.1640625" style="125" customWidth="1"/>
    <col min="10490" max="10490" width="84.83203125" style="125" customWidth="1"/>
    <col min="10491" max="10491" width="12.6640625" style="125" customWidth="1"/>
    <col min="10492" max="10492" width="19" style="125" customWidth="1"/>
    <col min="10493" max="10493" width="17.5" style="125" customWidth="1"/>
    <col min="10494" max="10494" width="22.6640625" style="125" customWidth="1"/>
    <col min="10495" max="10495" width="12.6640625" style="125" customWidth="1"/>
    <col min="10496" max="10496" width="22.6640625" style="125" customWidth="1"/>
    <col min="10497" max="10497" width="12.1640625" style="125" customWidth="1"/>
    <col min="10498" max="10498" width="24.1640625" style="125" customWidth="1"/>
    <col min="10499" max="10499" width="12.1640625" style="125" customWidth="1"/>
    <col min="10500" max="10500" width="25.1640625" style="125" customWidth="1"/>
    <col min="10501" max="10501" width="12.6640625" style="125" customWidth="1"/>
    <col min="10502" max="10502" width="24.1640625" style="125" customWidth="1"/>
    <col min="10503" max="10503" width="13.1640625" style="125" customWidth="1"/>
    <col min="10504" max="10504" width="16.83203125" style="125" customWidth="1"/>
    <col min="10505" max="10744" width="9.33203125" style="125"/>
    <col min="10745" max="10745" width="12.1640625" style="125" customWidth="1"/>
    <col min="10746" max="10746" width="84.83203125" style="125" customWidth="1"/>
    <col min="10747" max="10747" width="12.6640625" style="125" customWidth="1"/>
    <col min="10748" max="10748" width="19" style="125" customWidth="1"/>
    <col min="10749" max="10749" width="17.5" style="125" customWidth="1"/>
    <col min="10750" max="10750" width="22.6640625" style="125" customWidth="1"/>
    <col min="10751" max="10751" width="12.6640625" style="125" customWidth="1"/>
    <col min="10752" max="10752" width="22.6640625" style="125" customWidth="1"/>
    <col min="10753" max="10753" width="12.1640625" style="125" customWidth="1"/>
    <col min="10754" max="10754" width="24.1640625" style="125" customWidth="1"/>
    <col min="10755" max="10755" width="12.1640625" style="125" customWidth="1"/>
    <col min="10756" max="10756" width="25.1640625" style="125" customWidth="1"/>
    <col min="10757" max="10757" width="12.6640625" style="125" customWidth="1"/>
    <col min="10758" max="10758" width="24.1640625" style="125" customWidth="1"/>
    <col min="10759" max="10759" width="13.1640625" style="125" customWidth="1"/>
    <col min="10760" max="10760" width="16.83203125" style="125" customWidth="1"/>
    <col min="10761" max="11000" width="9.33203125" style="125"/>
    <col min="11001" max="11001" width="12.1640625" style="125" customWidth="1"/>
    <col min="11002" max="11002" width="84.83203125" style="125" customWidth="1"/>
    <col min="11003" max="11003" width="12.6640625" style="125" customWidth="1"/>
    <col min="11004" max="11004" width="19" style="125" customWidth="1"/>
    <col min="11005" max="11005" width="17.5" style="125" customWidth="1"/>
    <col min="11006" max="11006" width="22.6640625" style="125" customWidth="1"/>
    <col min="11007" max="11007" width="12.6640625" style="125" customWidth="1"/>
    <col min="11008" max="11008" width="22.6640625" style="125" customWidth="1"/>
    <col min="11009" max="11009" width="12.1640625" style="125" customWidth="1"/>
    <col min="11010" max="11010" width="24.1640625" style="125" customWidth="1"/>
    <col min="11011" max="11011" width="12.1640625" style="125" customWidth="1"/>
    <col min="11012" max="11012" width="25.1640625" style="125" customWidth="1"/>
    <col min="11013" max="11013" width="12.6640625" style="125" customWidth="1"/>
    <col min="11014" max="11014" width="24.1640625" style="125" customWidth="1"/>
    <col min="11015" max="11015" width="13.1640625" style="125" customWidth="1"/>
    <col min="11016" max="11016" width="16.83203125" style="125" customWidth="1"/>
    <col min="11017" max="11256" width="9.33203125" style="125"/>
    <col min="11257" max="11257" width="12.1640625" style="125" customWidth="1"/>
    <col min="11258" max="11258" width="84.83203125" style="125" customWidth="1"/>
    <col min="11259" max="11259" width="12.6640625" style="125" customWidth="1"/>
    <col min="11260" max="11260" width="19" style="125" customWidth="1"/>
    <col min="11261" max="11261" width="17.5" style="125" customWidth="1"/>
    <col min="11262" max="11262" width="22.6640625" style="125" customWidth="1"/>
    <col min="11263" max="11263" width="12.6640625" style="125" customWidth="1"/>
    <col min="11264" max="11264" width="22.6640625" style="125" customWidth="1"/>
    <col min="11265" max="11265" width="12.1640625" style="125" customWidth="1"/>
    <col min="11266" max="11266" width="24.1640625" style="125" customWidth="1"/>
    <col min="11267" max="11267" width="12.1640625" style="125" customWidth="1"/>
    <col min="11268" max="11268" width="25.1640625" style="125" customWidth="1"/>
    <col min="11269" max="11269" width="12.6640625" style="125" customWidth="1"/>
    <col min="11270" max="11270" width="24.1640625" style="125" customWidth="1"/>
    <col min="11271" max="11271" width="13.1640625" style="125" customWidth="1"/>
    <col min="11272" max="11272" width="16.83203125" style="125" customWidth="1"/>
    <col min="11273" max="11512" width="9.33203125" style="125"/>
    <col min="11513" max="11513" width="12.1640625" style="125" customWidth="1"/>
    <col min="11514" max="11514" width="84.83203125" style="125" customWidth="1"/>
    <col min="11515" max="11515" width="12.6640625" style="125" customWidth="1"/>
    <col min="11516" max="11516" width="19" style="125" customWidth="1"/>
    <col min="11517" max="11517" width="17.5" style="125" customWidth="1"/>
    <col min="11518" max="11518" width="22.6640625" style="125" customWidth="1"/>
    <col min="11519" max="11519" width="12.6640625" style="125" customWidth="1"/>
    <col min="11520" max="11520" width="22.6640625" style="125" customWidth="1"/>
    <col min="11521" max="11521" width="12.1640625" style="125" customWidth="1"/>
    <col min="11522" max="11522" width="24.1640625" style="125" customWidth="1"/>
    <col min="11523" max="11523" width="12.1640625" style="125" customWidth="1"/>
    <col min="11524" max="11524" width="25.1640625" style="125" customWidth="1"/>
    <col min="11525" max="11525" width="12.6640625" style="125" customWidth="1"/>
    <col min="11526" max="11526" width="24.1640625" style="125" customWidth="1"/>
    <col min="11527" max="11527" width="13.1640625" style="125" customWidth="1"/>
    <col min="11528" max="11528" width="16.83203125" style="125" customWidth="1"/>
    <col min="11529" max="11768" width="9.33203125" style="125"/>
    <col min="11769" max="11769" width="12.1640625" style="125" customWidth="1"/>
    <col min="11770" max="11770" width="84.83203125" style="125" customWidth="1"/>
    <col min="11771" max="11771" width="12.6640625" style="125" customWidth="1"/>
    <col min="11772" max="11772" width="19" style="125" customWidth="1"/>
    <col min="11773" max="11773" width="17.5" style="125" customWidth="1"/>
    <col min="11774" max="11774" width="22.6640625" style="125" customWidth="1"/>
    <col min="11775" max="11775" width="12.6640625" style="125" customWidth="1"/>
    <col min="11776" max="11776" width="22.6640625" style="125" customWidth="1"/>
    <col min="11777" max="11777" width="12.1640625" style="125" customWidth="1"/>
    <col min="11778" max="11778" width="24.1640625" style="125" customWidth="1"/>
    <col min="11779" max="11779" width="12.1640625" style="125" customWidth="1"/>
    <col min="11780" max="11780" width="25.1640625" style="125" customWidth="1"/>
    <col min="11781" max="11781" width="12.6640625" style="125" customWidth="1"/>
    <col min="11782" max="11782" width="24.1640625" style="125" customWidth="1"/>
    <col min="11783" max="11783" width="13.1640625" style="125" customWidth="1"/>
    <col min="11784" max="11784" width="16.83203125" style="125" customWidth="1"/>
    <col min="11785" max="12024" width="9.33203125" style="125"/>
    <col min="12025" max="12025" width="12.1640625" style="125" customWidth="1"/>
    <col min="12026" max="12026" width="84.83203125" style="125" customWidth="1"/>
    <col min="12027" max="12027" width="12.6640625" style="125" customWidth="1"/>
    <col min="12028" max="12028" width="19" style="125" customWidth="1"/>
    <col min="12029" max="12029" width="17.5" style="125" customWidth="1"/>
    <col min="12030" max="12030" width="22.6640625" style="125" customWidth="1"/>
    <col min="12031" max="12031" width="12.6640625" style="125" customWidth="1"/>
    <col min="12032" max="12032" width="22.6640625" style="125" customWidth="1"/>
    <col min="12033" max="12033" width="12.1640625" style="125" customWidth="1"/>
    <col min="12034" max="12034" width="24.1640625" style="125" customWidth="1"/>
    <col min="12035" max="12035" width="12.1640625" style="125" customWidth="1"/>
    <col min="12036" max="12036" width="25.1640625" style="125" customWidth="1"/>
    <col min="12037" max="12037" width="12.6640625" style="125" customWidth="1"/>
    <col min="12038" max="12038" width="24.1640625" style="125" customWidth="1"/>
    <col min="12039" max="12039" width="13.1640625" style="125" customWidth="1"/>
    <col min="12040" max="12040" width="16.83203125" style="125" customWidth="1"/>
    <col min="12041" max="12280" width="9.33203125" style="125"/>
    <col min="12281" max="12281" width="12.1640625" style="125" customWidth="1"/>
    <col min="12282" max="12282" width="84.83203125" style="125" customWidth="1"/>
    <col min="12283" max="12283" width="12.6640625" style="125" customWidth="1"/>
    <col min="12284" max="12284" width="19" style="125" customWidth="1"/>
    <col min="12285" max="12285" width="17.5" style="125" customWidth="1"/>
    <col min="12286" max="12286" width="22.6640625" style="125" customWidth="1"/>
    <col min="12287" max="12287" width="12.6640625" style="125" customWidth="1"/>
    <col min="12288" max="12288" width="22.6640625" style="125" customWidth="1"/>
    <col min="12289" max="12289" width="12.1640625" style="125" customWidth="1"/>
    <col min="12290" max="12290" width="24.1640625" style="125" customWidth="1"/>
    <col min="12291" max="12291" width="12.1640625" style="125" customWidth="1"/>
    <col min="12292" max="12292" width="25.1640625" style="125" customWidth="1"/>
    <col min="12293" max="12293" width="12.6640625" style="125" customWidth="1"/>
    <col min="12294" max="12294" width="24.1640625" style="125" customWidth="1"/>
    <col min="12295" max="12295" width="13.1640625" style="125" customWidth="1"/>
    <col min="12296" max="12296" width="16.83203125" style="125" customWidth="1"/>
    <col min="12297" max="12536" width="9.33203125" style="125"/>
    <col min="12537" max="12537" width="12.1640625" style="125" customWidth="1"/>
    <col min="12538" max="12538" width="84.83203125" style="125" customWidth="1"/>
    <col min="12539" max="12539" width="12.6640625" style="125" customWidth="1"/>
    <col min="12540" max="12540" width="19" style="125" customWidth="1"/>
    <col min="12541" max="12541" width="17.5" style="125" customWidth="1"/>
    <col min="12542" max="12542" width="22.6640625" style="125" customWidth="1"/>
    <col min="12543" max="12543" width="12.6640625" style="125" customWidth="1"/>
    <col min="12544" max="12544" width="22.6640625" style="125" customWidth="1"/>
    <col min="12545" max="12545" width="12.1640625" style="125" customWidth="1"/>
    <col min="12546" max="12546" width="24.1640625" style="125" customWidth="1"/>
    <col min="12547" max="12547" width="12.1640625" style="125" customWidth="1"/>
    <col min="12548" max="12548" width="25.1640625" style="125" customWidth="1"/>
    <col min="12549" max="12549" width="12.6640625" style="125" customWidth="1"/>
    <col min="12550" max="12550" width="24.1640625" style="125" customWidth="1"/>
    <col min="12551" max="12551" width="13.1640625" style="125" customWidth="1"/>
    <col min="12552" max="12552" width="16.83203125" style="125" customWidth="1"/>
    <col min="12553" max="12792" width="9.33203125" style="125"/>
    <col min="12793" max="12793" width="12.1640625" style="125" customWidth="1"/>
    <col min="12794" max="12794" width="84.83203125" style="125" customWidth="1"/>
    <col min="12795" max="12795" width="12.6640625" style="125" customWidth="1"/>
    <col min="12796" max="12796" width="19" style="125" customWidth="1"/>
    <col min="12797" max="12797" width="17.5" style="125" customWidth="1"/>
    <col min="12798" max="12798" width="22.6640625" style="125" customWidth="1"/>
    <col min="12799" max="12799" width="12.6640625" style="125" customWidth="1"/>
    <col min="12800" max="12800" width="22.6640625" style="125" customWidth="1"/>
    <col min="12801" max="12801" width="12.1640625" style="125" customWidth="1"/>
    <col min="12802" max="12802" width="24.1640625" style="125" customWidth="1"/>
    <col min="12803" max="12803" width="12.1640625" style="125" customWidth="1"/>
    <col min="12804" max="12804" width="25.1640625" style="125" customWidth="1"/>
    <col min="12805" max="12805" width="12.6640625" style="125" customWidth="1"/>
    <col min="12806" max="12806" width="24.1640625" style="125" customWidth="1"/>
    <col min="12807" max="12807" width="13.1640625" style="125" customWidth="1"/>
    <col min="12808" max="12808" width="16.83203125" style="125" customWidth="1"/>
    <col min="12809" max="13048" width="9.33203125" style="125"/>
    <col min="13049" max="13049" width="12.1640625" style="125" customWidth="1"/>
    <col min="13050" max="13050" width="84.83203125" style="125" customWidth="1"/>
    <col min="13051" max="13051" width="12.6640625" style="125" customWidth="1"/>
    <col min="13052" max="13052" width="19" style="125" customWidth="1"/>
    <col min="13053" max="13053" width="17.5" style="125" customWidth="1"/>
    <col min="13054" max="13054" width="22.6640625" style="125" customWidth="1"/>
    <col min="13055" max="13055" width="12.6640625" style="125" customWidth="1"/>
    <col min="13056" max="13056" width="22.6640625" style="125" customWidth="1"/>
    <col min="13057" max="13057" width="12.1640625" style="125" customWidth="1"/>
    <col min="13058" max="13058" width="24.1640625" style="125" customWidth="1"/>
    <col min="13059" max="13059" width="12.1640625" style="125" customWidth="1"/>
    <col min="13060" max="13060" width="25.1640625" style="125" customWidth="1"/>
    <col min="13061" max="13061" width="12.6640625" style="125" customWidth="1"/>
    <col min="13062" max="13062" width="24.1640625" style="125" customWidth="1"/>
    <col min="13063" max="13063" width="13.1640625" style="125" customWidth="1"/>
    <col min="13064" max="13064" width="16.83203125" style="125" customWidth="1"/>
    <col min="13065" max="13304" width="9.33203125" style="125"/>
    <col min="13305" max="13305" width="12.1640625" style="125" customWidth="1"/>
    <col min="13306" max="13306" width="84.83203125" style="125" customWidth="1"/>
    <col min="13307" max="13307" width="12.6640625" style="125" customWidth="1"/>
    <col min="13308" max="13308" width="19" style="125" customWidth="1"/>
    <col min="13309" max="13309" width="17.5" style="125" customWidth="1"/>
    <col min="13310" max="13310" width="22.6640625" style="125" customWidth="1"/>
    <col min="13311" max="13311" width="12.6640625" style="125" customWidth="1"/>
    <col min="13312" max="13312" width="22.6640625" style="125" customWidth="1"/>
    <col min="13313" max="13313" width="12.1640625" style="125" customWidth="1"/>
    <col min="13314" max="13314" width="24.1640625" style="125" customWidth="1"/>
    <col min="13315" max="13315" width="12.1640625" style="125" customWidth="1"/>
    <col min="13316" max="13316" width="25.1640625" style="125" customWidth="1"/>
    <col min="13317" max="13317" width="12.6640625" style="125" customWidth="1"/>
    <col min="13318" max="13318" width="24.1640625" style="125" customWidth="1"/>
    <col min="13319" max="13319" width="13.1640625" style="125" customWidth="1"/>
    <col min="13320" max="13320" width="16.83203125" style="125" customWidth="1"/>
    <col min="13321" max="13560" width="9.33203125" style="125"/>
    <col min="13561" max="13561" width="12.1640625" style="125" customWidth="1"/>
    <col min="13562" max="13562" width="84.83203125" style="125" customWidth="1"/>
    <col min="13563" max="13563" width="12.6640625" style="125" customWidth="1"/>
    <col min="13564" max="13564" width="19" style="125" customWidth="1"/>
    <col min="13565" max="13565" width="17.5" style="125" customWidth="1"/>
    <col min="13566" max="13566" width="22.6640625" style="125" customWidth="1"/>
    <col min="13567" max="13567" width="12.6640625" style="125" customWidth="1"/>
    <col min="13568" max="13568" width="22.6640625" style="125" customWidth="1"/>
    <col min="13569" max="13569" width="12.1640625" style="125" customWidth="1"/>
    <col min="13570" max="13570" width="24.1640625" style="125" customWidth="1"/>
    <col min="13571" max="13571" width="12.1640625" style="125" customWidth="1"/>
    <col min="13572" max="13572" width="25.1640625" style="125" customWidth="1"/>
    <col min="13573" max="13573" width="12.6640625" style="125" customWidth="1"/>
    <col min="13574" max="13574" width="24.1640625" style="125" customWidth="1"/>
    <col min="13575" max="13575" width="13.1640625" style="125" customWidth="1"/>
    <col min="13576" max="13576" width="16.83203125" style="125" customWidth="1"/>
    <col min="13577" max="13816" width="9.33203125" style="125"/>
    <col min="13817" max="13817" width="12.1640625" style="125" customWidth="1"/>
    <col min="13818" max="13818" width="84.83203125" style="125" customWidth="1"/>
    <col min="13819" max="13819" width="12.6640625" style="125" customWidth="1"/>
    <col min="13820" max="13820" width="19" style="125" customWidth="1"/>
    <col min="13821" max="13821" width="17.5" style="125" customWidth="1"/>
    <col min="13822" max="13822" width="22.6640625" style="125" customWidth="1"/>
    <col min="13823" max="13823" width="12.6640625" style="125" customWidth="1"/>
    <col min="13824" max="13824" width="22.6640625" style="125" customWidth="1"/>
    <col min="13825" max="13825" width="12.1640625" style="125" customWidth="1"/>
    <col min="13826" max="13826" width="24.1640625" style="125" customWidth="1"/>
    <col min="13827" max="13827" width="12.1640625" style="125" customWidth="1"/>
    <col min="13828" max="13828" width="25.1640625" style="125" customWidth="1"/>
    <col min="13829" max="13829" width="12.6640625" style="125" customWidth="1"/>
    <col min="13830" max="13830" width="24.1640625" style="125" customWidth="1"/>
    <col min="13831" max="13831" width="13.1640625" style="125" customWidth="1"/>
    <col min="13832" max="13832" width="16.83203125" style="125" customWidth="1"/>
    <col min="13833" max="14072" width="9.33203125" style="125"/>
    <col min="14073" max="14073" width="12.1640625" style="125" customWidth="1"/>
    <col min="14074" max="14074" width="84.83203125" style="125" customWidth="1"/>
    <col min="14075" max="14075" width="12.6640625" style="125" customWidth="1"/>
    <col min="14076" max="14076" width="19" style="125" customWidth="1"/>
    <col min="14077" max="14077" width="17.5" style="125" customWidth="1"/>
    <col min="14078" max="14078" width="22.6640625" style="125" customWidth="1"/>
    <col min="14079" max="14079" width="12.6640625" style="125" customWidth="1"/>
    <col min="14080" max="14080" width="22.6640625" style="125" customWidth="1"/>
    <col min="14081" max="14081" width="12.1640625" style="125" customWidth="1"/>
    <col min="14082" max="14082" width="24.1640625" style="125" customWidth="1"/>
    <col min="14083" max="14083" width="12.1640625" style="125" customWidth="1"/>
    <col min="14084" max="14084" width="25.1640625" style="125" customWidth="1"/>
    <col min="14085" max="14085" width="12.6640625" style="125" customWidth="1"/>
    <col min="14086" max="14086" width="24.1640625" style="125" customWidth="1"/>
    <col min="14087" max="14087" width="13.1640625" style="125" customWidth="1"/>
    <col min="14088" max="14088" width="16.83203125" style="125" customWidth="1"/>
    <col min="14089" max="14328" width="9.33203125" style="125"/>
    <col min="14329" max="14329" width="12.1640625" style="125" customWidth="1"/>
    <col min="14330" max="14330" width="84.83203125" style="125" customWidth="1"/>
    <col min="14331" max="14331" width="12.6640625" style="125" customWidth="1"/>
    <col min="14332" max="14332" width="19" style="125" customWidth="1"/>
    <col min="14333" max="14333" width="17.5" style="125" customWidth="1"/>
    <col min="14334" max="14334" width="22.6640625" style="125" customWidth="1"/>
    <col min="14335" max="14335" width="12.6640625" style="125" customWidth="1"/>
    <col min="14336" max="14336" width="22.6640625" style="125" customWidth="1"/>
    <col min="14337" max="14337" width="12.1640625" style="125" customWidth="1"/>
    <col min="14338" max="14338" width="24.1640625" style="125" customWidth="1"/>
    <col min="14339" max="14339" width="12.1640625" style="125" customWidth="1"/>
    <col min="14340" max="14340" width="25.1640625" style="125" customWidth="1"/>
    <col min="14341" max="14341" width="12.6640625" style="125" customWidth="1"/>
    <col min="14342" max="14342" width="24.1640625" style="125" customWidth="1"/>
    <col min="14343" max="14343" width="13.1640625" style="125" customWidth="1"/>
    <col min="14344" max="14344" width="16.83203125" style="125" customWidth="1"/>
    <col min="14345" max="14584" width="9.33203125" style="125"/>
    <col min="14585" max="14585" width="12.1640625" style="125" customWidth="1"/>
    <col min="14586" max="14586" width="84.83203125" style="125" customWidth="1"/>
    <col min="14587" max="14587" width="12.6640625" style="125" customWidth="1"/>
    <col min="14588" max="14588" width="19" style="125" customWidth="1"/>
    <col min="14589" max="14589" width="17.5" style="125" customWidth="1"/>
    <col min="14590" max="14590" width="22.6640625" style="125" customWidth="1"/>
    <col min="14591" max="14591" width="12.6640625" style="125" customWidth="1"/>
    <col min="14592" max="14592" width="22.6640625" style="125" customWidth="1"/>
    <col min="14593" max="14593" width="12.1640625" style="125" customWidth="1"/>
    <col min="14594" max="14594" width="24.1640625" style="125" customWidth="1"/>
    <col min="14595" max="14595" width="12.1640625" style="125" customWidth="1"/>
    <col min="14596" max="14596" width="25.1640625" style="125" customWidth="1"/>
    <col min="14597" max="14597" width="12.6640625" style="125" customWidth="1"/>
    <col min="14598" max="14598" width="24.1640625" style="125" customWidth="1"/>
    <col min="14599" max="14599" width="13.1640625" style="125" customWidth="1"/>
    <col min="14600" max="14600" width="16.83203125" style="125" customWidth="1"/>
    <col min="14601" max="14840" width="9.33203125" style="125"/>
    <col min="14841" max="14841" width="12.1640625" style="125" customWidth="1"/>
    <col min="14842" max="14842" width="84.83203125" style="125" customWidth="1"/>
    <col min="14843" max="14843" width="12.6640625" style="125" customWidth="1"/>
    <col min="14844" max="14844" width="19" style="125" customWidth="1"/>
    <col min="14845" max="14845" width="17.5" style="125" customWidth="1"/>
    <col min="14846" max="14846" width="22.6640625" style="125" customWidth="1"/>
    <col min="14847" max="14847" width="12.6640625" style="125" customWidth="1"/>
    <col min="14848" max="14848" width="22.6640625" style="125" customWidth="1"/>
    <col min="14849" max="14849" width="12.1640625" style="125" customWidth="1"/>
    <col min="14850" max="14850" width="24.1640625" style="125" customWidth="1"/>
    <col min="14851" max="14851" width="12.1640625" style="125" customWidth="1"/>
    <col min="14852" max="14852" width="25.1640625" style="125" customWidth="1"/>
    <col min="14853" max="14853" width="12.6640625" style="125" customWidth="1"/>
    <col min="14854" max="14854" width="24.1640625" style="125" customWidth="1"/>
    <col min="14855" max="14855" width="13.1640625" style="125" customWidth="1"/>
    <col min="14856" max="14856" width="16.83203125" style="125" customWidth="1"/>
    <col min="14857" max="15096" width="9.33203125" style="125"/>
    <col min="15097" max="15097" width="12.1640625" style="125" customWidth="1"/>
    <col min="15098" max="15098" width="84.83203125" style="125" customWidth="1"/>
    <col min="15099" max="15099" width="12.6640625" style="125" customWidth="1"/>
    <col min="15100" max="15100" width="19" style="125" customWidth="1"/>
    <col min="15101" max="15101" width="17.5" style="125" customWidth="1"/>
    <col min="15102" max="15102" width="22.6640625" style="125" customWidth="1"/>
    <col min="15103" max="15103" width="12.6640625" style="125" customWidth="1"/>
    <col min="15104" max="15104" width="22.6640625" style="125" customWidth="1"/>
    <col min="15105" max="15105" width="12.1640625" style="125" customWidth="1"/>
    <col min="15106" max="15106" width="24.1640625" style="125" customWidth="1"/>
    <col min="15107" max="15107" width="12.1640625" style="125" customWidth="1"/>
    <col min="15108" max="15108" width="25.1640625" style="125" customWidth="1"/>
    <col min="15109" max="15109" width="12.6640625" style="125" customWidth="1"/>
    <col min="15110" max="15110" width="24.1640625" style="125" customWidth="1"/>
    <col min="15111" max="15111" width="13.1640625" style="125" customWidth="1"/>
    <col min="15112" max="15112" width="16.83203125" style="125" customWidth="1"/>
    <col min="15113" max="15352" width="9.33203125" style="125"/>
    <col min="15353" max="15353" width="12.1640625" style="125" customWidth="1"/>
    <col min="15354" max="15354" width="84.83203125" style="125" customWidth="1"/>
    <col min="15355" max="15355" width="12.6640625" style="125" customWidth="1"/>
    <col min="15356" max="15356" width="19" style="125" customWidth="1"/>
    <col min="15357" max="15357" width="17.5" style="125" customWidth="1"/>
    <col min="15358" max="15358" width="22.6640625" style="125" customWidth="1"/>
    <col min="15359" max="15359" width="12.6640625" style="125" customWidth="1"/>
    <col min="15360" max="15360" width="22.6640625" style="125" customWidth="1"/>
    <col min="15361" max="15361" width="12.1640625" style="125" customWidth="1"/>
    <col min="15362" max="15362" width="24.1640625" style="125" customWidth="1"/>
    <col min="15363" max="15363" width="12.1640625" style="125" customWidth="1"/>
    <col min="15364" max="15364" width="25.1640625" style="125" customWidth="1"/>
    <col min="15365" max="15365" width="12.6640625" style="125" customWidth="1"/>
    <col min="15366" max="15366" width="24.1640625" style="125" customWidth="1"/>
    <col min="15367" max="15367" width="13.1640625" style="125" customWidth="1"/>
    <col min="15368" max="15368" width="16.83203125" style="125" customWidth="1"/>
    <col min="15369" max="15608" width="9.33203125" style="125"/>
    <col min="15609" max="15609" width="12.1640625" style="125" customWidth="1"/>
    <col min="15610" max="15610" width="84.83203125" style="125" customWidth="1"/>
    <col min="15611" max="15611" width="12.6640625" style="125" customWidth="1"/>
    <col min="15612" max="15612" width="19" style="125" customWidth="1"/>
    <col min="15613" max="15613" width="17.5" style="125" customWidth="1"/>
    <col min="15614" max="15614" width="22.6640625" style="125" customWidth="1"/>
    <col min="15615" max="15615" width="12.6640625" style="125" customWidth="1"/>
    <col min="15616" max="15616" width="22.6640625" style="125" customWidth="1"/>
    <col min="15617" max="15617" width="12.1640625" style="125" customWidth="1"/>
    <col min="15618" max="15618" width="24.1640625" style="125" customWidth="1"/>
    <col min="15619" max="15619" width="12.1640625" style="125" customWidth="1"/>
    <col min="15620" max="15620" width="25.1640625" style="125" customWidth="1"/>
    <col min="15621" max="15621" width="12.6640625" style="125" customWidth="1"/>
    <col min="15622" max="15622" width="24.1640625" style="125" customWidth="1"/>
    <col min="15623" max="15623" width="13.1640625" style="125" customWidth="1"/>
    <col min="15624" max="15624" width="16.83203125" style="125" customWidth="1"/>
    <col min="15625" max="15864" width="9.33203125" style="125"/>
    <col min="15865" max="15865" width="12.1640625" style="125" customWidth="1"/>
    <col min="15866" max="15866" width="84.83203125" style="125" customWidth="1"/>
    <col min="15867" max="15867" width="12.6640625" style="125" customWidth="1"/>
    <col min="15868" max="15868" width="19" style="125" customWidth="1"/>
    <col min="15869" max="15869" width="17.5" style="125" customWidth="1"/>
    <col min="15870" max="15870" width="22.6640625" style="125" customWidth="1"/>
    <col min="15871" max="15871" width="12.6640625" style="125" customWidth="1"/>
    <col min="15872" max="15872" width="22.6640625" style="125" customWidth="1"/>
    <col min="15873" max="15873" width="12.1640625" style="125" customWidth="1"/>
    <col min="15874" max="15874" width="24.1640625" style="125" customWidth="1"/>
    <col min="15875" max="15875" width="12.1640625" style="125" customWidth="1"/>
    <col min="15876" max="15876" width="25.1640625" style="125" customWidth="1"/>
    <col min="15877" max="15877" width="12.6640625" style="125" customWidth="1"/>
    <col min="15878" max="15878" width="24.1640625" style="125" customWidth="1"/>
    <col min="15879" max="15879" width="13.1640625" style="125" customWidth="1"/>
    <col min="15880" max="15880" width="16.83203125" style="125" customWidth="1"/>
    <col min="15881" max="16120" width="9.33203125" style="125"/>
    <col min="16121" max="16121" width="12.1640625" style="125" customWidth="1"/>
    <col min="16122" max="16122" width="84.83203125" style="125" customWidth="1"/>
    <col min="16123" max="16123" width="12.6640625" style="125" customWidth="1"/>
    <col min="16124" max="16124" width="19" style="125" customWidth="1"/>
    <col min="16125" max="16125" width="17.5" style="125" customWidth="1"/>
    <col min="16126" max="16126" width="22.6640625" style="125" customWidth="1"/>
    <col min="16127" max="16127" width="12.6640625" style="125" customWidth="1"/>
    <col min="16128" max="16128" width="22.6640625" style="125" customWidth="1"/>
    <col min="16129" max="16129" width="12.1640625" style="125" customWidth="1"/>
    <col min="16130" max="16130" width="24.1640625" style="125" customWidth="1"/>
    <col min="16131" max="16131" width="12.1640625" style="125" customWidth="1"/>
    <col min="16132" max="16132" width="25.1640625" style="125" customWidth="1"/>
    <col min="16133" max="16133" width="12.6640625" style="125" customWidth="1"/>
    <col min="16134" max="16134" width="24.1640625" style="125" customWidth="1"/>
    <col min="16135" max="16135" width="13.1640625" style="125" customWidth="1"/>
    <col min="16136" max="16136" width="16.83203125" style="125" customWidth="1"/>
    <col min="16137" max="16384" width="9.33203125" style="125"/>
  </cols>
  <sheetData>
    <row r="1" spans="1:10" ht="15" customHeight="1" x14ac:dyDescent="0.2">
      <c r="A1" s="200" t="s">
        <v>29</v>
      </c>
      <c r="B1" s="201"/>
      <c r="C1" s="201"/>
      <c r="D1" s="201"/>
      <c r="E1" s="201"/>
      <c r="F1" s="201"/>
      <c r="G1" s="201"/>
      <c r="H1" s="201"/>
      <c r="I1" s="201"/>
      <c r="J1" s="201"/>
    </row>
    <row r="2" spans="1:10" ht="15" customHeight="1" x14ac:dyDescent="0.2">
      <c r="A2" s="202"/>
      <c r="B2" s="203"/>
      <c r="C2" s="203"/>
      <c r="D2" s="203"/>
      <c r="E2" s="203"/>
      <c r="F2" s="203"/>
      <c r="G2" s="203"/>
      <c r="H2" s="203"/>
      <c r="I2" s="203"/>
      <c r="J2" s="203"/>
    </row>
    <row r="3" spans="1:10" ht="9.9499999999999993" customHeight="1" x14ac:dyDescent="0.2">
      <c r="A3" s="204"/>
      <c r="B3" s="205"/>
      <c r="C3" s="205"/>
      <c r="D3" s="205"/>
      <c r="E3" s="205"/>
      <c r="F3" s="205"/>
      <c r="G3" s="205"/>
      <c r="H3" s="205"/>
      <c r="I3" s="205"/>
      <c r="J3" s="205"/>
    </row>
    <row r="4" spans="1:10" ht="34.5" customHeight="1" x14ac:dyDescent="0.2">
      <c r="A4" s="206" t="s">
        <v>64</v>
      </c>
      <c r="B4" s="207"/>
      <c r="C4" s="207"/>
      <c r="D4" s="207"/>
      <c r="E4" s="207"/>
      <c r="F4" s="207"/>
      <c r="G4" s="207"/>
      <c r="H4" s="207"/>
      <c r="I4" s="207"/>
      <c r="J4" s="207"/>
    </row>
    <row r="5" spans="1:10" ht="9.9499999999999993" customHeight="1" x14ac:dyDescent="0.2">
      <c r="A5" s="126"/>
      <c r="B5" s="127"/>
      <c r="C5" s="128"/>
      <c r="D5" s="127"/>
      <c r="E5" s="128"/>
      <c r="F5" s="127"/>
      <c r="G5" s="128"/>
      <c r="H5" s="127"/>
      <c r="I5" s="128"/>
      <c r="J5" s="127"/>
    </row>
    <row r="6" spans="1:10" ht="36.75" customHeight="1" x14ac:dyDescent="0.2">
      <c r="A6" s="210" t="str">
        <f>ORÇAMENTO!A5</f>
        <v>OBRA: CONSTRUÇÃO DE CENTRO EDUCACIONAL INFANTIL LOCALIZADO À AVENIDA DAS INDUSTRIAS, ESQUINA COM RUA DO COMERCIO, NO DISTRITO DE MACAÚBAS DE CIMA, EM PATROCÍNIO/MG</v>
      </c>
      <c r="B6" s="211"/>
      <c r="C6" s="211"/>
      <c r="D6" s="211"/>
      <c r="E6" s="211"/>
      <c r="F6" s="211"/>
      <c r="G6" s="211"/>
      <c r="H6" s="211"/>
      <c r="I6" s="211"/>
      <c r="J6" s="211"/>
    </row>
    <row r="7" spans="1:10" ht="15.75" x14ac:dyDescent="0.2">
      <c r="A7" s="212" t="str">
        <f>ORÇAMENTO!A6</f>
        <v>PRAZO DE OBRA: 3 MESES</v>
      </c>
      <c r="B7" s="213"/>
      <c r="C7" s="213"/>
      <c r="D7" s="213"/>
      <c r="E7" s="213"/>
      <c r="F7" s="213"/>
      <c r="G7" s="213"/>
      <c r="H7" s="213"/>
      <c r="I7" s="213"/>
      <c r="J7" s="213"/>
    </row>
    <row r="8" spans="1:10" s="129" customFormat="1" ht="15.75" x14ac:dyDescent="0.2">
      <c r="A8" s="214" t="s">
        <v>2</v>
      </c>
      <c r="B8" s="216" t="s">
        <v>30</v>
      </c>
      <c r="C8" s="216" t="s">
        <v>31</v>
      </c>
      <c r="D8" s="218" t="s">
        <v>32</v>
      </c>
      <c r="E8" s="208" t="s">
        <v>334</v>
      </c>
      <c r="F8" s="209"/>
      <c r="G8" s="208" t="s">
        <v>335</v>
      </c>
      <c r="H8" s="209"/>
      <c r="I8" s="208" t="s">
        <v>336</v>
      </c>
      <c r="J8" s="209"/>
    </row>
    <row r="9" spans="1:10" s="129" customFormat="1" ht="15.75" x14ac:dyDescent="0.2">
      <c r="A9" s="215"/>
      <c r="B9" s="217"/>
      <c r="C9" s="217"/>
      <c r="D9" s="219"/>
      <c r="E9" s="130" t="s">
        <v>8</v>
      </c>
      <c r="F9" s="131" t="s">
        <v>33</v>
      </c>
      <c r="G9" s="130" t="s">
        <v>8</v>
      </c>
      <c r="H9" s="131" t="s">
        <v>33</v>
      </c>
      <c r="I9" s="130" t="s">
        <v>8</v>
      </c>
      <c r="J9" s="131" t="s">
        <v>33</v>
      </c>
    </row>
    <row r="10" spans="1:10" ht="45" x14ac:dyDescent="0.2">
      <c r="A10" s="132">
        <f>ORÇAMENTO!A34</f>
        <v>1</v>
      </c>
      <c r="B10" s="133" t="str">
        <f>ORÇAMENTO!C34</f>
        <v>SERVIÇOS INICIAIS / INSTALAÇÕES PROVISÓRIAS / PROJETOS E LEVANTAMENTOS</v>
      </c>
      <c r="C10" s="134">
        <f t="shared" ref="C10:C24" si="0">D10/$D$26</f>
        <v>1.961540206185567E-2</v>
      </c>
      <c r="D10" s="135">
        <f>ORÇAMENTO!H39</f>
        <v>9513.4699999999993</v>
      </c>
      <c r="E10" s="136">
        <v>0.8</v>
      </c>
      <c r="F10" s="135">
        <f>(E10*$D10)</f>
        <v>7610.7759999999998</v>
      </c>
      <c r="G10" s="136">
        <v>0.1</v>
      </c>
      <c r="H10" s="135">
        <f>(G10*$D10)</f>
        <v>951.34699999999998</v>
      </c>
      <c r="I10" s="136">
        <v>0.1</v>
      </c>
      <c r="J10" s="135">
        <f>(I10*$D10)</f>
        <v>951.34699999999998</v>
      </c>
    </row>
    <row r="11" spans="1:10" x14ac:dyDescent="0.2">
      <c r="A11" s="137">
        <f>ORÇAMENTO!A41</f>
        <v>2</v>
      </c>
      <c r="B11" s="138" t="str">
        <f>ORÇAMENTO!C41</f>
        <v>INFRAESTRUTURA / TERRAPLANAGEM</v>
      </c>
      <c r="C11" s="139">
        <f t="shared" si="0"/>
        <v>8.9653030927835053E-2</v>
      </c>
      <c r="D11" s="135">
        <f>ORÇAMENTO!H51</f>
        <v>43481.72</v>
      </c>
      <c r="E11" s="140">
        <v>1</v>
      </c>
      <c r="F11" s="135">
        <f t="shared" ref="F11:F24" si="1">(E11*$D11)</f>
        <v>43481.72</v>
      </c>
      <c r="G11" s="140"/>
      <c r="H11" s="135">
        <f t="shared" ref="H11:H24" si="2">(G11*$D11)</f>
        <v>0</v>
      </c>
      <c r="I11" s="140"/>
      <c r="J11" s="135">
        <f t="shared" ref="J11:J24" si="3">(I11*$D11)</f>
        <v>0</v>
      </c>
    </row>
    <row r="12" spans="1:10" x14ac:dyDescent="0.2">
      <c r="A12" s="137">
        <f>ORÇAMENTO!A53</f>
        <v>3</v>
      </c>
      <c r="B12" s="138" t="str">
        <f>ORÇAMENTO!C53</f>
        <v>ESTRUTURA</v>
      </c>
      <c r="C12" s="139">
        <f t="shared" si="0"/>
        <v>0.1188380618556701</v>
      </c>
      <c r="D12" s="135">
        <f>ORÇAMENTO!H58</f>
        <v>57636.46</v>
      </c>
      <c r="E12" s="136">
        <v>1</v>
      </c>
      <c r="F12" s="135">
        <f t="shared" si="1"/>
        <v>57636.46</v>
      </c>
      <c r="G12" s="136"/>
      <c r="H12" s="135">
        <f t="shared" si="2"/>
        <v>0</v>
      </c>
      <c r="I12" s="136"/>
      <c r="J12" s="135">
        <f t="shared" si="3"/>
        <v>0</v>
      </c>
    </row>
    <row r="13" spans="1:10" x14ac:dyDescent="0.2">
      <c r="A13" s="137">
        <f>ORÇAMENTO!A60</f>
        <v>4</v>
      </c>
      <c r="B13" s="138" t="str">
        <f>ORÇAMENTO!C60</f>
        <v>PAISAGISMO</v>
      </c>
      <c r="C13" s="139">
        <f t="shared" si="0"/>
        <v>3.1001876288659795E-2</v>
      </c>
      <c r="D13" s="135">
        <f>ORÇAMENTO!H63</f>
        <v>15035.91</v>
      </c>
      <c r="E13" s="136"/>
      <c r="F13" s="135">
        <f t="shared" si="1"/>
        <v>0</v>
      </c>
      <c r="G13" s="136"/>
      <c r="H13" s="135">
        <f t="shared" si="2"/>
        <v>0</v>
      </c>
      <c r="I13" s="136">
        <v>1</v>
      </c>
      <c r="J13" s="135">
        <f t="shared" si="3"/>
        <v>15035.91</v>
      </c>
    </row>
    <row r="14" spans="1:10" x14ac:dyDescent="0.2">
      <c r="A14" s="137">
        <f>ORÇAMENTO!A65</f>
        <v>5</v>
      </c>
      <c r="B14" s="138" t="str">
        <f>ORÇAMENTO!C65</f>
        <v>ALVENARIA</v>
      </c>
      <c r="C14" s="139">
        <f t="shared" si="0"/>
        <v>8.2716618556701024E-2</v>
      </c>
      <c r="D14" s="135">
        <f>ORÇAMENTO!H75</f>
        <v>40117.56</v>
      </c>
      <c r="E14" s="140">
        <v>1</v>
      </c>
      <c r="F14" s="135">
        <f t="shared" si="1"/>
        <v>40117.56</v>
      </c>
      <c r="G14" s="140"/>
      <c r="H14" s="135">
        <f t="shared" si="2"/>
        <v>0</v>
      </c>
      <c r="I14" s="140"/>
      <c r="J14" s="135">
        <f t="shared" si="3"/>
        <v>0</v>
      </c>
    </row>
    <row r="15" spans="1:10" x14ac:dyDescent="0.2">
      <c r="A15" s="137">
        <f>ORÇAMENTO!A77</f>
        <v>6</v>
      </c>
      <c r="B15" s="141" t="str">
        <f>ORÇAMENTO!C77</f>
        <v>REVESTIMENTO</v>
      </c>
      <c r="C15" s="139">
        <f t="shared" si="0"/>
        <v>9.1614123711340201E-2</v>
      </c>
      <c r="D15" s="135">
        <f>ORÇAMENTO!H85</f>
        <v>44432.85</v>
      </c>
      <c r="E15" s="140">
        <v>0.1</v>
      </c>
      <c r="F15" s="135">
        <f t="shared" si="1"/>
        <v>4443.2849999999999</v>
      </c>
      <c r="G15" s="140">
        <v>0.9</v>
      </c>
      <c r="H15" s="135">
        <f t="shared" si="2"/>
        <v>39989.565000000002</v>
      </c>
      <c r="I15" s="140"/>
      <c r="J15" s="135">
        <f t="shared" si="3"/>
        <v>0</v>
      </c>
    </row>
    <row r="16" spans="1:10" x14ac:dyDescent="0.2">
      <c r="A16" s="137">
        <f>ORÇAMENTO!A87</f>
        <v>7</v>
      </c>
      <c r="B16" s="141" t="str">
        <f>ORÇAMENTO!C87</f>
        <v>PISO / PAVIMENTAÇÃO</v>
      </c>
      <c r="C16" s="139">
        <f t="shared" si="0"/>
        <v>0.10767144329896908</v>
      </c>
      <c r="D16" s="135">
        <f>ORÇAMENTO!H96</f>
        <v>52220.65</v>
      </c>
      <c r="E16" s="140"/>
      <c r="F16" s="135">
        <f t="shared" si="1"/>
        <v>0</v>
      </c>
      <c r="G16" s="140">
        <v>0.1</v>
      </c>
      <c r="H16" s="135">
        <f t="shared" si="2"/>
        <v>5222.0650000000005</v>
      </c>
      <c r="I16" s="140">
        <v>0.9</v>
      </c>
      <c r="J16" s="135">
        <f t="shared" si="3"/>
        <v>46998.584999999999</v>
      </c>
    </row>
    <row r="17" spans="1:10" x14ac:dyDescent="0.2">
      <c r="A17" s="137">
        <f>ORÇAMENTO!A98</f>
        <v>8</v>
      </c>
      <c r="B17" s="141" t="str">
        <f>ORÇAMENTO!C98</f>
        <v>COBERTURA</v>
      </c>
      <c r="C17" s="139">
        <f t="shared" si="0"/>
        <v>0.12891993814432989</v>
      </c>
      <c r="D17" s="135">
        <f>ORÇAMENTO!H106</f>
        <v>62526.17</v>
      </c>
      <c r="E17" s="140">
        <v>0.1</v>
      </c>
      <c r="F17" s="135">
        <f t="shared" si="1"/>
        <v>6252.6170000000002</v>
      </c>
      <c r="G17" s="140">
        <v>0.9</v>
      </c>
      <c r="H17" s="135">
        <f t="shared" si="2"/>
        <v>56273.553</v>
      </c>
      <c r="I17" s="140"/>
      <c r="J17" s="135">
        <f t="shared" si="3"/>
        <v>0</v>
      </c>
    </row>
    <row r="18" spans="1:10" x14ac:dyDescent="0.2">
      <c r="A18" s="137">
        <f>ORÇAMENTO!A108</f>
        <v>9</v>
      </c>
      <c r="B18" s="141" t="str">
        <f>ORÇAMENTO!C108</f>
        <v>ESQUADRIAS / VIDROS</v>
      </c>
      <c r="C18" s="139">
        <f t="shared" si="0"/>
        <v>5.7775484536082472E-2</v>
      </c>
      <c r="D18" s="135">
        <f>ORÇAMENTO!H116</f>
        <v>28021.11</v>
      </c>
      <c r="E18" s="140"/>
      <c r="F18" s="135">
        <f t="shared" si="1"/>
        <v>0</v>
      </c>
      <c r="G18" s="140">
        <v>0.1</v>
      </c>
      <c r="H18" s="135">
        <f t="shared" si="2"/>
        <v>2802.1110000000003</v>
      </c>
      <c r="I18" s="140">
        <v>0.9</v>
      </c>
      <c r="J18" s="135">
        <f t="shared" si="3"/>
        <v>25218.999</v>
      </c>
    </row>
    <row r="19" spans="1:10" x14ac:dyDescent="0.2">
      <c r="A19" s="137">
        <f>ORÇAMENTO!A118</f>
        <v>10</v>
      </c>
      <c r="B19" s="141" t="str">
        <f>ORÇAMENTO!C118</f>
        <v>PINTURA</v>
      </c>
      <c r="C19" s="139">
        <f t="shared" si="0"/>
        <v>7.4320082474226806E-2</v>
      </c>
      <c r="D19" s="135">
        <f>ORÇAMENTO!H133</f>
        <v>36045.24</v>
      </c>
      <c r="E19" s="140"/>
      <c r="F19" s="135">
        <f t="shared" si="1"/>
        <v>0</v>
      </c>
      <c r="G19" s="140">
        <v>0.3</v>
      </c>
      <c r="H19" s="135">
        <f t="shared" si="2"/>
        <v>10813.571999999998</v>
      </c>
      <c r="I19" s="140">
        <v>0.7</v>
      </c>
      <c r="J19" s="135">
        <f t="shared" si="3"/>
        <v>25231.667999999998</v>
      </c>
    </row>
    <row r="20" spans="1:10" x14ac:dyDescent="0.2">
      <c r="A20" s="137">
        <f>ORÇAMENTO!A135</f>
        <v>11</v>
      </c>
      <c r="B20" s="141" t="str">
        <f>ORÇAMENTO!C135</f>
        <v>DIVERSOS</v>
      </c>
      <c r="C20" s="139">
        <f t="shared" si="0"/>
        <v>3.8013298969072164E-2</v>
      </c>
      <c r="D20" s="135">
        <f>ORÇAMENTO!H145</f>
        <v>18436.45</v>
      </c>
      <c r="E20" s="140"/>
      <c r="F20" s="135">
        <f t="shared" si="1"/>
        <v>0</v>
      </c>
      <c r="G20" s="140"/>
      <c r="H20" s="135">
        <f t="shared" si="2"/>
        <v>0</v>
      </c>
      <c r="I20" s="140">
        <v>1</v>
      </c>
      <c r="J20" s="135">
        <f t="shared" si="3"/>
        <v>18436.45</v>
      </c>
    </row>
    <row r="21" spans="1:10" x14ac:dyDescent="0.2">
      <c r="A21" s="137">
        <f>ORÇAMENTO!A147</f>
        <v>12</v>
      </c>
      <c r="B21" s="141" t="str">
        <f>ORÇAMENTO!C147</f>
        <v>INSTALAÇÕES HIDROSSANITÁRIAS</v>
      </c>
      <c r="C21" s="139">
        <f t="shared" si="0"/>
        <v>8.1528701030927825E-2</v>
      </c>
      <c r="D21" s="135">
        <f>ORÇAMENTO!H202</f>
        <v>39541.42</v>
      </c>
      <c r="E21" s="140"/>
      <c r="F21" s="135">
        <f t="shared" si="1"/>
        <v>0</v>
      </c>
      <c r="G21" s="140">
        <v>1</v>
      </c>
      <c r="H21" s="135">
        <f t="shared" si="2"/>
        <v>39541.42</v>
      </c>
      <c r="I21" s="140"/>
      <c r="J21" s="135">
        <f t="shared" si="3"/>
        <v>0</v>
      </c>
    </row>
    <row r="22" spans="1:10" x14ac:dyDescent="0.2">
      <c r="A22" s="137">
        <f>ORÇAMENTO!A204</f>
        <v>13</v>
      </c>
      <c r="B22" s="141" t="str">
        <f>ORÇAMENTO!C204</f>
        <v>INSTALAÇÕES ELÉTRICAS</v>
      </c>
      <c r="C22" s="139">
        <f t="shared" si="0"/>
        <v>6.6694886597938138E-2</v>
      </c>
      <c r="D22" s="135">
        <f>ORÇAMENTO!H233</f>
        <v>32347.02</v>
      </c>
      <c r="E22" s="140"/>
      <c r="F22" s="135">
        <f t="shared" si="1"/>
        <v>0</v>
      </c>
      <c r="G22" s="140">
        <v>0.3</v>
      </c>
      <c r="H22" s="135">
        <f t="shared" si="2"/>
        <v>9704.1059999999998</v>
      </c>
      <c r="I22" s="140">
        <v>0.7</v>
      </c>
      <c r="J22" s="135">
        <f t="shared" si="3"/>
        <v>22642.914000000001</v>
      </c>
    </row>
    <row r="23" spans="1:10" x14ac:dyDescent="0.2">
      <c r="A23" s="137">
        <f>ORÇAMENTO!A235</f>
        <v>15</v>
      </c>
      <c r="B23" s="141" t="str">
        <f>ORÇAMENTO!C235</f>
        <v>INSTALAÇÕES DE COMBATE A INCÊNDIO</v>
      </c>
      <c r="C23" s="139">
        <f t="shared" si="0"/>
        <v>7.6311340206185567E-3</v>
      </c>
      <c r="D23" s="135">
        <f>ORÇAMENTO!H245</f>
        <v>3701.1</v>
      </c>
      <c r="E23" s="140"/>
      <c r="F23" s="135">
        <f t="shared" si="1"/>
        <v>0</v>
      </c>
      <c r="G23" s="140"/>
      <c r="H23" s="135">
        <f t="shared" si="2"/>
        <v>0</v>
      </c>
      <c r="I23" s="140">
        <v>1</v>
      </c>
      <c r="J23" s="135">
        <f t="shared" si="3"/>
        <v>3701.1</v>
      </c>
    </row>
    <row r="24" spans="1:10" x14ac:dyDescent="0.2">
      <c r="A24" s="137">
        <f>ORÇAMENTO!A247</f>
        <v>16</v>
      </c>
      <c r="B24" s="141" t="str">
        <f>ORÇAMENTO!C247</f>
        <v>INSTALAÇÕES DE GASES</v>
      </c>
      <c r="C24" s="139">
        <f t="shared" si="0"/>
        <v>7.8509278350515457E-4</v>
      </c>
      <c r="D24" s="135">
        <f>ORÇAMENTO!H249</f>
        <v>380.77</v>
      </c>
      <c r="E24" s="140"/>
      <c r="F24" s="135">
        <f t="shared" si="1"/>
        <v>0</v>
      </c>
      <c r="G24" s="140">
        <v>1</v>
      </c>
      <c r="H24" s="135">
        <f t="shared" si="2"/>
        <v>380.77</v>
      </c>
      <c r="I24" s="140"/>
      <c r="J24" s="135">
        <f t="shared" si="3"/>
        <v>0</v>
      </c>
    </row>
    <row r="25" spans="1:10" x14ac:dyDescent="0.2">
      <c r="A25" s="137">
        <f>ORÇAMENTO!A251</f>
        <v>17</v>
      </c>
      <c r="B25" s="141" t="str">
        <f>ORÇAMENTO!C251</f>
        <v>SERVIÇOS FINAIS</v>
      </c>
      <c r="C25" s="139">
        <f t="shared" ref="C25" si="4">D25/$D$26</f>
        <v>3.220824742268041E-3</v>
      </c>
      <c r="D25" s="135">
        <f>ORÇAMENTO!H253</f>
        <v>1562.1</v>
      </c>
      <c r="E25" s="140"/>
      <c r="F25" s="135">
        <f t="shared" ref="F25" si="5">(E25*$D25)</f>
        <v>0</v>
      </c>
      <c r="G25" s="140"/>
      <c r="H25" s="135">
        <f t="shared" ref="H25" si="6">(G25*$D25)</f>
        <v>0</v>
      </c>
      <c r="I25" s="140">
        <v>1</v>
      </c>
      <c r="J25" s="135">
        <f t="shared" ref="J25" si="7">(I25*$D25)</f>
        <v>1562.1</v>
      </c>
    </row>
    <row r="26" spans="1:10" s="144" customFormat="1" ht="15" customHeight="1" x14ac:dyDescent="0.2">
      <c r="A26" s="194" t="s">
        <v>34</v>
      </c>
      <c r="B26" s="195"/>
      <c r="C26" s="196">
        <f>SUM(C10:C25)</f>
        <v>0.99999999999999989</v>
      </c>
      <c r="D26" s="198">
        <f>ROUND(SUM(D10:D25),2)</f>
        <v>485000</v>
      </c>
      <c r="E26" s="142">
        <f>F26/$D$26</f>
        <v>0.32895343917525777</v>
      </c>
      <c r="F26" s="143">
        <f>SUM(F10:F25)</f>
        <v>159542.41800000001</v>
      </c>
      <c r="G26" s="142">
        <f>H26/$D$26</f>
        <v>0.34160517319587624</v>
      </c>
      <c r="H26" s="143">
        <f>SUM(H10:H25)</f>
        <v>165678.50899999999</v>
      </c>
      <c r="I26" s="142">
        <f>J26/$D$26</f>
        <v>0.32944138762886599</v>
      </c>
      <c r="J26" s="143">
        <f>SUM(J10:J25)</f>
        <v>159779.073</v>
      </c>
    </row>
    <row r="27" spans="1:10" s="144" customFormat="1" ht="15" customHeight="1" x14ac:dyDescent="0.2">
      <c r="A27" s="194" t="s">
        <v>35</v>
      </c>
      <c r="B27" s="195"/>
      <c r="C27" s="197"/>
      <c r="D27" s="199"/>
      <c r="E27" s="142">
        <f>E26</f>
        <v>0.32895343917525777</v>
      </c>
      <c r="F27" s="143">
        <f>F26</f>
        <v>159542.41800000001</v>
      </c>
      <c r="G27" s="142">
        <f>G26+E27</f>
        <v>0.67055861237113401</v>
      </c>
      <c r="H27" s="143">
        <f>(H26+F27)</f>
        <v>325220.92700000003</v>
      </c>
      <c r="I27" s="142">
        <f>I26+G27</f>
        <v>1</v>
      </c>
      <c r="J27" s="143">
        <f>(J26+H27)</f>
        <v>485000</v>
      </c>
    </row>
    <row r="28" spans="1:10" s="144" customFormat="1" ht="15" customHeight="1" x14ac:dyDescent="0.2">
      <c r="A28" s="222"/>
      <c r="B28" s="222"/>
      <c r="C28" s="223"/>
      <c r="D28" s="224"/>
      <c r="E28" s="223"/>
      <c r="F28" s="224"/>
      <c r="G28" s="223"/>
      <c r="H28" s="224"/>
      <c r="I28" s="223"/>
      <c r="J28" s="224"/>
    </row>
    <row r="29" spans="1:10" s="144" customFormat="1" ht="15" customHeight="1" x14ac:dyDescent="0.2">
      <c r="A29" s="222"/>
      <c r="B29" s="222"/>
      <c r="C29" s="223"/>
      <c r="D29" s="224"/>
      <c r="E29" s="223"/>
      <c r="F29" s="224"/>
      <c r="G29" s="223"/>
      <c r="H29" s="224"/>
      <c r="I29" s="223"/>
      <c r="J29" s="224"/>
    </row>
    <row r="30" spans="1:10" s="144" customFormat="1" ht="15" customHeight="1" x14ac:dyDescent="0.2">
      <c r="A30" s="222"/>
      <c r="B30" s="222"/>
      <c r="C30" s="223"/>
      <c r="D30" s="224"/>
      <c r="E30" s="223"/>
      <c r="F30" s="224"/>
      <c r="G30" s="223"/>
      <c r="H30" s="224"/>
      <c r="I30" s="223"/>
      <c r="J30" s="224"/>
    </row>
    <row r="32" spans="1:10" x14ac:dyDescent="0.2">
      <c r="B32" s="193"/>
      <c r="C32" s="193"/>
      <c r="D32" s="193"/>
      <c r="E32" s="193"/>
      <c r="F32" s="193"/>
      <c r="G32" s="193"/>
      <c r="H32" s="193"/>
      <c r="I32" s="193"/>
    </row>
    <row r="33" spans="2:9" x14ac:dyDescent="0.2">
      <c r="B33" s="150" t="s">
        <v>530</v>
      </c>
      <c r="C33" s="150"/>
      <c r="D33" s="150"/>
      <c r="E33" s="150"/>
      <c r="F33" s="150"/>
      <c r="G33" s="150"/>
      <c r="H33" s="150"/>
      <c r="I33" s="150"/>
    </row>
    <row r="34" spans="2:9" x14ac:dyDescent="0.2">
      <c r="B34" s="122"/>
      <c r="C34" s="122"/>
    </row>
    <row r="35" spans="2:9" x14ac:dyDescent="0.2">
      <c r="B35" s="122"/>
      <c r="C35" s="122"/>
    </row>
    <row r="36" spans="2:9" x14ac:dyDescent="0.2">
      <c r="B36" s="122"/>
      <c r="C36" s="122"/>
    </row>
    <row r="37" spans="2:9" x14ac:dyDescent="0.2">
      <c r="B37" s="193"/>
      <c r="C37" s="193"/>
      <c r="D37" s="193"/>
      <c r="E37" s="193"/>
      <c r="F37" s="193"/>
      <c r="G37" s="193"/>
      <c r="H37" s="193"/>
      <c r="I37" s="193"/>
    </row>
    <row r="38" spans="2:9" x14ac:dyDescent="0.2">
      <c r="B38" s="150" t="s">
        <v>531</v>
      </c>
      <c r="C38" s="150"/>
      <c r="D38" s="150"/>
      <c r="E38" s="150"/>
      <c r="F38" s="150"/>
      <c r="G38" s="150"/>
      <c r="H38" s="150"/>
      <c r="I38" s="150"/>
    </row>
  </sheetData>
  <mergeCells count="20">
    <mergeCell ref="A1:J2"/>
    <mergeCell ref="A3:J3"/>
    <mergeCell ref="A4:J4"/>
    <mergeCell ref="G8:H8"/>
    <mergeCell ref="I8:J8"/>
    <mergeCell ref="A6:J6"/>
    <mergeCell ref="A7:J7"/>
    <mergeCell ref="A8:A9"/>
    <mergeCell ref="B8:B9"/>
    <mergeCell ref="C8:C9"/>
    <mergeCell ref="D8:D9"/>
    <mergeCell ref="E8:F8"/>
    <mergeCell ref="B32:I32"/>
    <mergeCell ref="B33:I33"/>
    <mergeCell ref="B38:I38"/>
    <mergeCell ref="B37:I37"/>
    <mergeCell ref="A26:B26"/>
    <mergeCell ref="A27:B27"/>
    <mergeCell ref="C26:C27"/>
    <mergeCell ref="D26:D27"/>
  </mergeCells>
  <printOptions horizontalCentered="1"/>
  <pageMargins left="0.19685039370078741" right="0.19685039370078741" top="0.39370078740157483" bottom="0.19685039370078741" header="0.11811023622047245" footer="0.11811023622047245"/>
  <pageSetup paperSize="9" scale="60" orientation="landscape" r:id="rId1"/>
  <headerFooter>
    <oddHeader>&amp;RRevisão R2</oddHeader>
    <oddFooter>Página &amp;P de &amp;N</oddFooter>
  </headerFooter>
  <ignoredErrors>
    <ignoredError sqref="F26:J26 H27:J27"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ORÇAMENTO</vt:lpstr>
      <vt:lpstr>C.F.F GERAL </vt:lpstr>
      <vt:lpstr>'C.F.F GERAL '!Area_de_impressao</vt:lpstr>
      <vt:lpstr>ORÇAMENTO!Area_de_impressao</vt:lpstr>
      <vt:lpstr>'C.F.F GERAL '!Titulos_de_impressao</vt:lpstr>
      <vt:lpstr>ORÇAMENTO!Titulos_de_impressao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ADM-ADVICE</cp:lastModifiedBy>
  <cp:lastPrinted>2022-08-25T20:28:54Z</cp:lastPrinted>
  <dcterms:created xsi:type="dcterms:W3CDTF">2017-12-18T22:00:31Z</dcterms:created>
  <dcterms:modified xsi:type="dcterms:W3CDTF">2022-08-25T20:29:31Z</dcterms:modified>
</cp:coreProperties>
</file>