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730" windowHeight="11760" tabRatio="930" firstSheet="19" activeTab="33"/>
  </bookViews>
  <sheets>
    <sheet name="Memória" sheetId="1" r:id="rId1"/>
    <sheet name="Alv15" sheetId="4" r:id="rId2"/>
    <sheet name="Alv20" sheetId="31" r:id="rId3"/>
    <sheet name="Encun" sheetId="42" r:id="rId4"/>
    <sheet name="Ver_Jan" sheetId="15" r:id="rId5"/>
    <sheet name="Con_Ver" sheetId="32" r:id="rId6"/>
    <sheet name="Ver_Por" sheetId="16" r:id="rId7"/>
    <sheet name="Cob" sheetId="7" r:id="rId8"/>
    <sheet name="Chap_Par" sheetId="5" r:id="rId9"/>
    <sheet name="Reb_Par" sheetId="37" r:id="rId10"/>
    <sheet name="Embç_Par" sheetId="33" r:id="rId11"/>
    <sheet name="Cerâm_Par" sheetId="34" r:id="rId12"/>
    <sheet name="Selad_Par" sheetId="38" r:id="rId13"/>
    <sheet name="Emass_Par" sheetId="39" r:id="rId14"/>
    <sheet name="Pint_Epox_Par" sheetId="40" r:id="rId15"/>
    <sheet name="Pint_Epox_Demarc" sheetId="44" r:id="rId16"/>
    <sheet name="Pint_Acr_Par" sheetId="41" r:id="rId17"/>
    <sheet name="Chap_Tet" sheetId="35" r:id="rId18"/>
    <sheet name="Reb_Tet" sheetId="56" r:id="rId19"/>
    <sheet name="Emass_Tet" sheetId="52" r:id="rId20"/>
    <sheet name="Pint_Tet" sheetId="53" r:id="rId21"/>
    <sheet name="For_Ges" sheetId="36" r:id="rId22"/>
    <sheet name="Emass_For_Ges" sheetId="54" r:id="rId23"/>
    <sheet name="Pint_For_Ges" sheetId="55" r:id="rId24"/>
    <sheet name="Pis_Porce" sheetId="47" r:id="rId25"/>
    <sheet name="Pis_Cer" sheetId="48" r:id="rId26"/>
    <sheet name="Pis_Conc_Poli" sheetId="50" r:id="rId27"/>
    <sheet name="Pis_Grani" sheetId="49" r:id="rId28"/>
    <sheet name="Con_Pis" sheetId="46" r:id="rId29"/>
    <sheet name="Piso_Borracha" sheetId="58" r:id="rId30"/>
    <sheet name="Passeio" sheetId="23" r:id="rId31"/>
    <sheet name="Soleira" sheetId="51" r:id="rId32"/>
    <sheet name="Rodape" sheetId="43" r:id="rId33"/>
    <sheet name="Esquad" sheetId="27" r:id="rId34"/>
    <sheet name="Diver" sheetId="8" r:id="rId35"/>
    <sheet name="Rev_Cer_Fachada" sheetId="57" r:id="rId36"/>
  </sheets>
  <externalReferences>
    <externalReference r:id="rId37"/>
    <externalReference r:id="rId38"/>
    <externalReference r:id="rId39"/>
    <externalReference r:id="rId40"/>
    <externalReference r:id="rId41"/>
    <externalReference r:id="rId42"/>
  </externalReferences>
  <calcPr calcId="124519"/>
</workbook>
</file>

<file path=xl/calcChain.xml><?xml version="1.0" encoding="utf-8"?>
<calcChain xmlns="http://schemas.openxmlformats.org/spreadsheetml/2006/main">
  <c r="V57" i="27"/>
  <c r="V55"/>
  <c r="V53"/>
  <c r="V51"/>
  <c r="V49"/>
  <c r="V47"/>
  <c r="V45"/>
  <c r="V43"/>
  <c r="V41"/>
  <c r="V39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V36"/>
  <c r="V34"/>
  <c r="V32"/>
  <c r="V30"/>
  <c r="V28"/>
  <c r="AR56"/>
  <c r="AQ56"/>
  <c r="AR54"/>
  <c r="AQ54"/>
  <c r="AR52"/>
  <c r="AQ52"/>
  <c r="AR50"/>
  <c r="AQ50"/>
  <c r="AR48"/>
  <c r="AQ48"/>
  <c r="AR46"/>
  <c r="AQ46"/>
  <c r="AR44"/>
  <c r="AQ44"/>
  <c r="AR42"/>
  <c r="AQ42"/>
  <c r="AR38"/>
  <c r="AQ38"/>
  <c r="AR35"/>
  <c r="AQ35"/>
  <c r="AR33"/>
  <c r="AQ33"/>
  <c r="AR31"/>
  <c r="AQ31"/>
  <c r="AR29"/>
  <c r="AQ29"/>
  <c r="AR27"/>
  <c r="AQ27"/>
  <c r="AR26"/>
  <c r="AQ26"/>
  <c r="AR18"/>
  <c r="AR19" s="1"/>
  <c r="AQ18"/>
  <c r="AQ19" s="1"/>
  <c r="AR24" l="1"/>
  <c r="AR23"/>
  <c r="AR22"/>
  <c r="AR21"/>
  <c r="AR20"/>
  <c r="AQ24"/>
  <c r="AQ23"/>
  <c r="AQ22"/>
  <c r="AQ21"/>
  <c r="AQ20"/>
  <c r="AR12" l="1"/>
  <c r="AR11"/>
  <c r="AR10"/>
  <c r="AR9"/>
  <c r="AR8"/>
  <c r="AR7"/>
  <c r="AQ12"/>
  <c r="AQ11"/>
  <c r="AQ10"/>
  <c r="AQ9"/>
  <c r="AQ8"/>
  <c r="AQ7"/>
  <c r="AP12"/>
  <c r="AP11"/>
  <c r="AP10"/>
  <c r="AP9"/>
  <c r="AP8"/>
  <c r="AP7"/>
  <c r="AO7"/>
  <c r="AO12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AO11"/>
  <c r="AN11"/>
  <c r="AM11"/>
  <c r="AL11"/>
  <c r="AK11"/>
  <c r="AJ11"/>
  <c r="AI11"/>
  <c r="AH11"/>
  <c r="AG11"/>
  <c r="AF11"/>
  <c r="AE11"/>
  <c r="AD11"/>
  <c r="AC11"/>
  <c r="AB11"/>
  <c r="AA11"/>
  <c r="Z11"/>
  <c r="Y11"/>
  <c r="X11"/>
  <c r="W11"/>
  <c r="V11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AO8"/>
  <c r="AN8"/>
  <c r="AM8"/>
  <c r="AL8"/>
  <c r="AK8"/>
  <c r="AJ8"/>
  <c r="AI8"/>
  <c r="AH8"/>
  <c r="AG8"/>
  <c r="AF8"/>
  <c r="AE8"/>
  <c r="AD8"/>
  <c r="AC8"/>
  <c r="AB8"/>
  <c r="AA8"/>
  <c r="Z8"/>
  <c r="Y8"/>
  <c r="X8"/>
  <c r="W8"/>
  <c r="V8"/>
  <c r="AN7"/>
  <c r="AM7"/>
  <c r="AL7"/>
  <c r="AK7"/>
  <c r="AJ7"/>
  <c r="AI7"/>
  <c r="AH7"/>
  <c r="AG7"/>
  <c r="AF7"/>
  <c r="AE7"/>
  <c r="AD7"/>
  <c r="AC7"/>
  <c r="AB7"/>
  <c r="AA7"/>
  <c r="Z7"/>
  <c r="Y7"/>
  <c r="X7"/>
  <c r="W7"/>
  <c r="V7"/>
  <c r="T44"/>
  <c r="T42"/>
  <c r="T40"/>
  <c r="T33"/>
  <c r="T31"/>
  <c r="T29"/>
  <c r="T18"/>
  <c r="T12"/>
  <c r="T11"/>
  <c r="T10"/>
  <c r="T9"/>
  <c r="T8"/>
  <c r="T7"/>
  <c r="B18"/>
  <c r="AR14" l="1"/>
  <c r="AQ14"/>
  <c r="T14"/>
  <c r="T20"/>
  <c r="T24"/>
  <c r="T23"/>
  <c r="T21"/>
  <c r="T19"/>
  <c r="T26" s="1"/>
  <c r="T27" s="1"/>
  <c r="T22"/>
  <c r="T37" s="1"/>
  <c r="T38" s="1"/>
  <c r="B7" i="58" l="1"/>
  <c r="B6"/>
  <c r="B5"/>
  <c r="B4"/>
  <c r="B3"/>
  <c r="B2"/>
  <c r="B4" i="46"/>
  <c r="W56" i="27"/>
  <c r="X56"/>
  <c r="Y56"/>
  <c r="Z56"/>
  <c r="AA56"/>
  <c r="AB56"/>
  <c r="AC56"/>
  <c r="AD56"/>
  <c r="AE56"/>
  <c r="AF56"/>
  <c r="AG56"/>
  <c r="AH56"/>
  <c r="AI56"/>
  <c r="AJ56"/>
  <c r="AK56"/>
  <c r="AL56"/>
  <c r="AN56"/>
  <c r="AO56"/>
  <c r="AP56"/>
  <c r="W54"/>
  <c r="X54"/>
  <c r="Y54"/>
  <c r="Z54"/>
  <c r="AA54"/>
  <c r="AB54"/>
  <c r="AC54"/>
  <c r="AD54"/>
  <c r="AE54"/>
  <c r="AF54"/>
  <c r="AG54"/>
  <c r="AH54"/>
  <c r="AI54"/>
  <c r="AJ54"/>
  <c r="AK54"/>
  <c r="AM54"/>
  <c r="AN54"/>
  <c r="AO54"/>
  <c r="AP54"/>
  <c r="W52"/>
  <c r="X52"/>
  <c r="Y52"/>
  <c r="Z52"/>
  <c r="AA52"/>
  <c r="AB52"/>
  <c r="AC52"/>
  <c r="AD52"/>
  <c r="AE52"/>
  <c r="AF52"/>
  <c r="AG52"/>
  <c r="AH52"/>
  <c r="AI52"/>
  <c r="AJ52"/>
  <c r="AL52"/>
  <c r="AM52"/>
  <c r="AN52"/>
  <c r="AO52"/>
  <c r="AP52"/>
  <c r="V56"/>
  <c r="V54"/>
  <c r="V52"/>
  <c r="W50"/>
  <c r="X50"/>
  <c r="Y50"/>
  <c r="Z50"/>
  <c r="AA50"/>
  <c r="AB50"/>
  <c r="AC50"/>
  <c r="AD50"/>
  <c r="AE50"/>
  <c r="AF50"/>
  <c r="AG50"/>
  <c r="AH50"/>
  <c r="AK50"/>
  <c r="AL50"/>
  <c r="AM50"/>
  <c r="AN50"/>
  <c r="AO50"/>
  <c r="AP50"/>
  <c r="V50"/>
  <c r="W48"/>
  <c r="X48"/>
  <c r="Y48"/>
  <c r="Z48"/>
  <c r="AA48"/>
  <c r="AB48"/>
  <c r="AC48"/>
  <c r="AD48"/>
  <c r="AE48"/>
  <c r="AF48"/>
  <c r="AG48"/>
  <c r="AH48"/>
  <c r="AK48"/>
  <c r="AL48"/>
  <c r="AM48"/>
  <c r="AN48"/>
  <c r="AO48"/>
  <c r="AP48"/>
  <c r="V48"/>
  <c r="W46"/>
  <c r="X46"/>
  <c r="Y46"/>
  <c r="Z46"/>
  <c r="AA46"/>
  <c r="AC46"/>
  <c r="AD46"/>
  <c r="AE46"/>
  <c r="AF46"/>
  <c r="AG46"/>
  <c r="AH46"/>
  <c r="AI46"/>
  <c r="AJ46"/>
  <c r="AK46"/>
  <c r="AL46"/>
  <c r="AM46"/>
  <c r="AN46"/>
  <c r="AP46"/>
  <c r="V46"/>
  <c r="W44"/>
  <c r="X44"/>
  <c r="Y44"/>
  <c r="AA44"/>
  <c r="AB44"/>
  <c r="AD44"/>
  <c r="AE44"/>
  <c r="AF44"/>
  <c r="AG44"/>
  <c r="AH44"/>
  <c r="AI44"/>
  <c r="AJ44"/>
  <c r="AK44"/>
  <c r="AL44"/>
  <c r="AM44"/>
  <c r="AN44"/>
  <c r="AO44"/>
  <c r="AP44"/>
  <c r="V44"/>
  <c r="W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V42"/>
  <c r="W38"/>
  <c r="X38"/>
  <c r="Y38"/>
  <c r="Z38"/>
  <c r="AB38"/>
  <c r="AC38"/>
  <c r="AD38"/>
  <c r="AE38"/>
  <c r="AF38"/>
  <c r="AG38"/>
  <c r="AH38"/>
  <c r="AI38"/>
  <c r="AJ38"/>
  <c r="AK38"/>
  <c r="AL38"/>
  <c r="AM38"/>
  <c r="AO38"/>
  <c r="AP38"/>
  <c r="V38"/>
  <c r="W35"/>
  <c r="X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V35"/>
  <c r="W33"/>
  <c r="X33"/>
  <c r="Y33"/>
  <c r="Z33"/>
  <c r="AA33"/>
  <c r="AB33"/>
  <c r="AC33"/>
  <c r="AD33"/>
  <c r="AF33"/>
  <c r="AG33"/>
  <c r="AH33"/>
  <c r="AI33"/>
  <c r="AJ33"/>
  <c r="AK33"/>
  <c r="AL33"/>
  <c r="AM33"/>
  <c r="AN33"/>
  <c r="AO33"/>
  <c r="AP33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V31"/>
  <c r="W29"/>
  <c r="X29"/>
  <c r="Y29"/>
  <c r="Z29"/>
  <c r="AA29"/>
  <c r="AB29"/>
  <c r="AC29"/>
  <c r="AD29"/>
  <c r="AE29"/>
  <c r="AF29"/>
  <c r="AH29"/>
  <c r="AI29"/>
  <c r="AJ29"/>
  <c r="AK29"/>
  <c r="AL29"/>
  <c r="AM29"/>
  <c r="AN29"/>
  <c r="AO29"/>
  <c r="AP29"/>
  <c r="V29"/>
  <c r="W27"/>
  <c r="X27"/>
  <c r="Y27"/>
  <c r="Z27"/>
  <c r="AA27"/>
  <c r="AB27"/>
  <c r="AC27"/>
  <c r="AD27"/>
  <c r="AE27"/>
  <c r="AF27"/>
  <c r="AG27"/>
  <c r="AI27"/>
  <c r="AJ27"/>
  <c r="AK27"/>
  <c r="AL27"/>
  <c r="AM27"/>
  <c r="AN27"/>
  <c r="AO27"/>
  <c r="AP27"/>
  <c r="V27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C44"/>
  <c r="D44"/>
  <c r="E44"/>
  <c r="F44"/>
  <c r="G44"/>
  <c r="H44"/>
  <c r="I44"/>
  <c r="J44"/>
  <c r="K44"/>
  <c r="L44"/>
  <c r="N44"/>
  <c r="O44"/>
  <c r="P44"/>
  <c r="Q44"/>
  <c r="R44"/>
  <c r="S44"/>
  <c r="C42"/>
  <c r="E42"/>
  <c r="F42"/>
  <c r="G42"/>
  <c r="H42"/>
  <c r="J42"/>
  <c r="K42"/>
  <c r="M42"/>
  <c r="N42"/>
  <c r="O42"/>
  <c r="P42"/>
  <c r="R42"/>
  <c r="S42"/>
  <c r="C40"/>
  <c r="D40"/>
  <c r="F40"/>
  <c r="G40"/>
  <c r="H40"/>
  <c r="I40"/>
  <c r="J40"/>
  <c r="K40"/>
  <c r="L40"/>
  <c r="M40"/>
  <c r="O40"/>
  <c r="P40"/>
  <c r="Q40"/>
  <c r="R40"/>
  <c r="D38"/>
  <c r="E38"/>
  <c r="I38"/>
  <c r="L38"/>
  <c r="M38"/>
  <c r="N38"/>
  <c r="Q38"/>
  <c r="S38"/>
  <c r="B44"/>
  <c r="B42"/>
  <c r="B40"/>
  <c r="C33"/>
  <c r="D33"/>
  <c r="E33"/>
  <c r="F33"/>
  <c r="G33"/>
  <c r="H33"/>
  <c r="I33"/>
  <c r="J33"/>
  <c r="K33"/>
  <c r="L33"/>
  <c r="N33"/>
  <c r="O33"/>
  <c r="P33"/>
  <c r="Q33"/>
  <c r="R33"/>
  <c r="S33"/>
  <c r="B33"/>
  <c r="C31"/>
  <c r="E31"/>
  <c r="F31"/>
  <c r="G31"/>
  <c r="H31"/>
  <c r="J31"/>
  <c r="K31"/>
  <c r="M31"/>
  <c r="N31"/>
  <c r="O31"/>
  <c r="P31"/>
  <c r="R31"/>
  <c r="S31"/>
  <c r="B31"/>
  <c r="B9" i="58" l="1"/>
  <c r="C29" i="27"/>
  <c r="D29"/>
  <c r="F29"/>
  <c r="G29"/>
  <c r="H29"/>
  <c r="I29"/>
  <c r="J29"/>
  <c r="K29"/>
  <c r="L29"/>
  <c r="M29"/>
  <c r="O29"/>
  <c r="P29"/>
  <c r="Q29"/>
  <c r="R29"/>
  <c r="B29"/>
  <c r="E27"/>
  <c r="I27"/>
  <c r="L27"/>
  <c r="M27"/>
  <c r="N27"/>
  <c r="Q27"/>
  <c r="S27"/>
  <c r="S18"/>
  <c r="R18"/>
  <c r="Q18"/>
  <c r="P18"/>
  <c r="O18"/>
  <c r="N18"/>
  <c r="M18"/>
  <c r="L18"/>
  <c r="K18"/>
  <c r="J18"/>
  <c r="I18"/>
  <c r="H18"/>
  <c r="G18"/>
  <c r="F18"/>
  <c r="E18"/>
  <c r="D18"/>
  <c r="C18"/>
  <c r="B7" i="57"/>
  <c r="B6"/>
  <c r="B5"/>
  <c r="B4"/>
  <c r="B3"/>
  <c r="B2"/>
  <c r="B9" l="1"/>
  <c r="AX2" i="8"/>
  <c r="AX7"/>
  <c r="AX6"/>
  <c r="AX5"/>
  <c r="AX4"/>
  <c r="AX3"/>
  <c r="AX9" l="1"/>
  <c r="AP24" i="27" l="1"/>
  <c r="AP23"/>
  <c r="AP22"/>
  <c r="AP21"/>
  <c r="AP20"/>
  <c r="AP19"/>
  <c r="AP26" l="1"/>
  <c r="AP31" s="1"/>
  <c r="AP14"/>
  <c r="S12" l="1"/>
  <c r="S24" s="1"/>
  <c r="R12"/>
  <c r="R24" s="1"/>
  <c r="S11"/>
  <c r="S23" s="1"/>
  <c r="R11"/>
  <c r="R23" s="1"/>
  <c r="S10"/>
  <c r="S22" s="1"/>
  <c r="R10"/>
  <c r="R22" s="1"/>
  <c r="S9"/>
  <c r="S21" s="1"/>
  <c r="R9"/>
  <c r="R21" s="1"/>
  <c r="S37" l="1"/>
  <c r="S40" s="1"/>
  <c r="R37"/>
  <c r="R38" s="1"/>
  <c r="S7"/>
  <c r="S19" s="1"/>
  <c r="R7"/>
  <c r="R19" s="1"/>
  <c r="S8" l="1"/>
  <c r="S20" s="1"/>
  <c r="S26" s="1"/>
  <c r="S29" s="1"/>
  <c r="R8"/>
  <c r="AO24"/>
  <c r="AN24"/>
  <c r="AM24"/>
  <c r="AL24"/>
  <c r="AK24"/>
  <c r="AJ24"/>
  <c r="AI24"/>
  <c r="AO23"/>
  <c r="AN23"/>
  <c r="AM23"/>
  <c r="AL23"/>
  <c r="AK23"/>
  <c r="AJ23"/>
  <c r="AI23"/>
  <c r="AO22"/>
  <c r="AN22"/>
  <c r="AM22"/>
  <c r="AL22"/>
  <c r="AK22"/>
  <c r="AJ22"/>
  <c r="AI22"/>
  <c r="AO21"/>
  <c r="AN21"/>
  <c r="AM21"/>
  <c r="AL21"/>
  <c r="AK21"/>
  <c r="AJ21"/>
  <c r="AI21"/>
  <c r="AO19"/>
  <c r="AN19"/>
  <c r="AM19"/>
  <c r="AL19"/>
  <c r="AK19"/>
  <c r="AJ19"/>
  <c r="AI19"/>
  <c r="R14" l="1"/>
  <c r="R20"/>
  <c r="R26" s="1"/>
  <c r="S14"/>
  <c r="R27" l="1"/>
  <c r="N2" i="49"/>
  <c r="B2"/>
  <c r="B2" i="50"/>
  <c r="B2" i="48"/>
  <c r="B2" i="47"/>
  <c r="B2" i="55"/>
  <c r="B2" i="54"/>
  <c r="B2" i="36"/>
  <c r="B2" i="53"/>
  <c r="B2" i="52"/>
  <c r="B2" i="56"/>
  <c r="B2" i="39"/>
  <c r="B2" i="38"/>
  <c r="B2" i="34"/>
  <c r="B2" i="33"/>
  <c r="B15" i="37"/>
  <c r="B2"/>
  <c r="B2" i="5"/>
  <c r="B2" i="44" l="1"/>
  <c r="B2" i="41" l="1"/>
  <c r="B2" i="40"/>
  <c r="B2" i="35" l="1"/>
  <c r="G28" i="7" l="1"/>
  <c r="G15"/>
  <c r="G2"/>
  <c r="B28"/>
  <c r="B15"/>
  <c r="B2"/>
  <c r="B2" i="16"/>
  <c r="B2" i="32"/>
  <c r="B2" i="15"/>
  <c r="B2" i="42"/>
  <c r="B2" i="31"/>
  <c r="B3" i="4"/>
  <c r="B2" i="51"/>
  <c r="N2" i="43"/>
  <c r="H2"/>
  <c r="B2"/>
  <c r="AH19" i="27"/>
  <c r="AG19"/>
  <c r="AF19"/>
  <c r="AE19"/>
  <c r="AD19"/>
  <c r="AC19"/>
  <c r="AB19"/>
  <c r="AA19"/>
  <c r="Z19"/>
  <c r="Y19"/>
  <c r="X19"/>
  <c r="W19"/>
  <c r="V19"/>
  <c r="Q7"/>
  <c r="Q19" s="1"/>
  <c r="P7"/>
  <c r="P19" s="1"/>
  <c r="O7"/>
  <c r="O19" s="1"/>
  <c r="N7"/>
  <c r="N19" s="1"/>
  <c r="M7"/>
  <c r="M19" s="1"/>
  <c r="L7"/>
  <c r="L19" s="1"/>
  <c r="K7"/>
  <c r="K19" s="1"/>
  <c r="J7"/>
  <c r="J19" s="1"/>
  <c r="I7"/>
  <c r="I19" s="1"/>
  <c r="H7"/>
  <c r="H19" s="1"/>
  <c r="G7"/>
  <c r="G19" s="1"/>
  <c r="F7"/>
  <c r="F19" s="1"/>
  <c r="E7"/>
  <c r="E19" s="1"/>
  <c r="D7"/>
  <c r="D19" s="1"/>
  <c r="C7"/>
  <c r="C19" s="1"/>
  <c r="B7"/>
  <c r="B19" s="1"/>
  <c r="AW2" i="8"/>
  <c r="AV2"/>
  <c r="AU2"/>
  <c r="AT2"/>
  <c r="AS2"/>
  <c r="AR2"/>
  <c r="AP2"/>
  <c r="AO2"/>
  <c r="AL2"/>
  <c r="AK2"/>
  <c r="AJ2"/>
  <c r="AI2"/>
  <c r="AH2"/>
  <c r="AG2"/>
  <c r="AF2"/>
  <c r="AE2"/>
  <c r="AD2"/>
  <c r="AC2"/>
  <c r="AB2"/>
  <c r="AA2"/>
  <c r="Z2"/>
  <c r="Y2"/>
  <c r="X2"/>
  <c r="W2"/>
  <c r="V2"/>
  <c r="U2"/>
  <c r="T2"/>
  <c r="S2"/>
  <c r="R2"/>
  <c r="Q2"/>
  <c r="P2"/>
  <c r="O2"/>
  <c r="N2"/>
  <c r="M2"/>
  <c r="L2"/>
  <c r="K2"/>
  <c r="J2"/>
  <c r="I2"/>
  <c r="H2"/>
  <c r="G2"/>
  <c r="F2"/>
  <c r="E2"/>
  <c r="D2"/>
  <c r="C2"/>
  <c r="B2"/>
  <c r="AW7"/>
  <c r="AV7"/>
  <c r="AU7"/>
  <c r="AT7"/>
  <c r="AS7"/>
  <c r="AR7"/>
  <c r="AQ7"/>
  <c r="AP7"/>
  <c r="AO7"/>
  <c r="AN7"/>
  <c r="AM7"/>
  <c r="AL7"/>
  <c r="AK7"/>
  <c r="AJ7"/>
  <c r="AI7"/>
  <c r="AH7"/>
  <c r="AG7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W6"/>
  <c r="AW5"/>
  <c r="AV6"/>
  <c r="AV5"/>
  <c r="AU6"/>
  <c r="AU5"/>
  <c r="AT6"/>
  <c r="AT5"/>
  <c r="AS6"/>
  <c r="AS5"/>
  <c r="AR6"/>
  <c r="AR5"/>
  <c r="AQ6"/>
  <c r="AQ5"/>
  <c r="AP6"/>
  <c r="AP5"/>
  <c r="AO6"/>
  <c r="AO5"/>
  <c r="AN6"/>
  <c r="AN5"/>
  <c r="AM6"/>
  <c r="AM5"/>
  <c r="AL6"/>
  <c r="AL5"/>
  <c r="AK6"/>
  <c r="AK5"/>
  <c r="AJ6"/>
  <c r="AJ5"/>
  <c r="AI6"/>
  <c r="AI5"/>
  <c r="AH6"/>
  <c r="AH5"/>
  <c r="AG6"/>
  <c r="AG5"/>
  <c r="AF6"/>
  <c r="AF5"/>
  <c r="AE6"/>
  <c r="AE5"/>
  <c r="AD6"/>
  <c r="AD5"/>
  <c r="AC6"/>
  <c r="AC5"/>
  <c r="AB6"/>
  <c r="AB5"/>
  <c r="AA6"/>
  <c r="AA5"/>
  <c r="Z6"/>
  <c r="Z5"/>
  <c r="Y6"/>
  <c r="Y5"/>
  <c r="X6"/>
  <c r="X5"/>
  <c r="W6"/>
  <c r="W5"/>
  <c r="V6"/>
  <c r="V5"/>
  <c r="U6"/>
  <c r="U5"/>
  <c r="T6"/>
  <c r="T5"/>
  <c r="S6"/>
  <c r="S5"/>
  <c r="R6"/>
  <c r="R5"/>
  <c r="Q6"/>
  <c r="Q5"/>
  <c r="P6"/>
  <c r="P5"/>
  <c r="O6"/>
  <c r="O5"/>
  <c r="N6"/>
  <c r="N5"/>
  <c r="M6"/>
  <c r="M5"/>
  <c r="L6"/>
  <c r="L5"/>
  <c r="K6"/>
  <c r="K5"/>
  <c r="J6"/>
  <c r="J5"/>
  <c r="I6"/>
  <c r="I5"/>
  <c r="H6"/>
  <c r="H5"/>
  <c r="G6"/>
  <c r="G5"/>
  <c r="F6"/>
  <c r="F5"/>
  <c r="E6"/>
  <c r="E5"/>
  <c r="D6"/>
  <c r="D5"/>
  <c r="C6"/>
  <c r="C5"/>
  <c r="B6"/>
  <c r="B5"/>
  <c r="AW4"/>
  <c r="AV4"/>
  <c r="AU4"/>
  <c r="AT4"/>
  <c r="AS4"/>
  <c r="AR4"/>
  <c r="AQ4"/>
  <c r="AP4"/>
  <c r="AO4"/>
  <c r="AN4"/>
  <c r="AM4"/>
  <c r="AL4"/>
  <c r="AK4"/>
  <c r="AJ4"/>
  <c r="AI4"/>
  <c r="AH4"/>
  <c r="AG4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W3"/>
  <c r="AV3"/>
  <c r="AU3"/>
  <c r="AT3"/>
  <c r="AS3"/>
  <c r="AR3"/>
  <c r="AQ3"/>
  <c r="AP3"/>
  <c r="AO3"/>
  <c r="AN3"/>
  <c r="AM3"/>
  <c r="AL3"/>
  <c r="AK3"/>
  <c r="AJ3"/>
  <c r="AI3"/>
  <c r="AH3"/>
  <c r="AG3"/>
  <c r="AF3"/>
  <c r="AE3"/>
  <c r="AD3"/>
  <c r="AC3"/>
  <c r="AB3"/>
  <c r="AA3"/>
  <c r="Z3"/>
  <c r="Y3"/>
  <c r="X3"/>
  <c r="W3"/>
  <c r="V3"/>
  <c r="U3"/>
  <c r="T3"/>
  <c r="S3"/>
  <c r="R3"/>
  <c r="Q3"/>
  <c r="P3"/>
  <c r="O3"/>
  <c r="N3"/>
  <c r="M3"/>
  <c r="L3"/>
  <c r="K3"/>
  <c r="J3"/>
  <c r="I3"/>
  <c r="H3"/>
  <c r="G3"/>
  <c r="F3"/>
  <c r="E3"/>
  <c r="D3"/>
  <c r="C3"/>
  <c r="B3"/>
  <c r="AH24" i="27" l="1"/>
  <c r="AG24"/>
  <c r="AF24"/>
  <c r="AE24"/>
  <c r="AD24"/>
  <c r="AC24"/>
  <c r="AB24"/>
  <c r="AA24"/>
  <c r="Z24"/>
  <c r="Y24"/>
  <c r="X24"/>
  <c r="W24"/>
  <c r="V24"/>
  <c r="AH23"/>
  <c r="AH22"/>
  <c r="AG23"/>
  <c r="AG22"/>
  <c r="AF23"/>
  <c r="AF22"/>
  <c r="AE23"/>
  <c r="AE22"/>
  <c r="AD23"/>
  <c r="AD22"/>
  <c r="AC23"/>
  <c r="AC22"/>
  <c r="AB23"/>
  <c r="AB22"/>
  <c r="AA23"/>
  <c r="AA22"/>
  <c r="Z23"/>
  <c r="Z22"/>
  <c r="Y23"/>
  <c r="Y22"/>
  <c r="X23"/>
  <c r="X22"/>
  <c r="W23"/>
  <c r="W22"/>
  <c r="V23"/>
  <c r="V22"/>
  <c r="AH21"/>
  <c r="AG21"/>
  <c r="AF21"/>
  <c r="AE21"/>
  <c r="AD21"/>
  <c r="AC21"/>
  <c r="AB21"/>
  <c r="AA21"/>
  <c r="Z21"/>
  <c r="Y21"/>
  <c r="X21"/>
  <c r="W21"/>
  <c r="V21"/>
  <c r="AH20"/>
  <c r="AG20"/>
  <c r="AE20"/>
  <c r="AD20"/>
  <c r="AC20"/>
  <c r="AB20"/>
  <c r="AA20"/>
  <c r="Z20"/>
  <c r="X20"/>
  <c r="W20"/>
  <c r="V20"/>
  <c r="Q12"/>
  <c r="Q24" s="1"/>
  <c r="Q11"/>
  <c r="Q23" s="1"/>
  <c r="Q10"/>
  <c r="Q22" s="1"/>
  <c r="Q9"/>
  <c r="Q21" s="1"/>
  <c r="Q8"/>
  <c r="Q20" s="1"/>
  <c r="P12"/>
  <c r="P24" s="1"/>
  <c r="P11"/>
  <c r="P23" s="1"/>
  <c r="P10"/>
  <c r="P22" s="1"/>
  <c r="P9"/>
  <c r="P21" s="1"/>
  <c r="P8"/>
  <c r="P20" s="1"/>
  <c r="O12"/>
  <c r="O24" s="1"/>
  <c r="O11"/>
  <c r="O23" s="1"/>
  <c r="O10"/>
  <c r="O22" s="1"/>
  <c r="O9"/>
  <c r="O21" s="1"/>
  <c r="O8"/>
  <c r="O20" s="1"/>
  <c r="N12"/>
  <c r="N24" s="1"/>
  <c r="N11"/>
  <c r="N23" s="1"/>
  <c r="N10"/>
  <c r="N22" s="1"/>
  <c r="N9"/>
  <c r="N21" s="1"/>
  <c r="N8"/>
  <c r="N20" s="1"/>
  <c r="M12"/>
  <c r="M24" s="1"/>
  <c r="M11"/>
  <c r="M23" s="1"/>
  <c r="M10"/>
  <c r="M22" s="1"/>
  <c r="M9"/>
  <c r="M21" s="1"/>
  <c r="M8"/>
  <c r="M20" s="1"/>
  <c r="L12"/>
  <c r="L24" s="1"/>
  <c r="L11"/>
  <c r="L23" s="1"/>
  <c r="L10"/>
  <c r="L22" s="1"/>
  <c r="L9"/>
  <c r="L21" s="1"/>
  <c r="K12"/>
  <c r="K24" s="1"/>
  <c r="K11"/>
  <c r="K23" s="1"/>
  <c r="K10"/>
  <c r="K22" s="1"/>
  <c r="K9"/>
  <c r="K21" s="1"/>
  <c r="K8"/>
  <c r="K20" s="1"/>
  <c r="J12"/>
  <c r="J24" s="1"/>
  <c r="J11"/>
  <c r="J23" s="1"/>
  <c r="J10"/>
  <c r="J22" s="1"/>
  <c r="J9"/>
  <c r="J21" s="1"/>
  <c r="J8"/>
  <c r="J20" s="1"/>
  <c r="I12"/>
  <c r="I24" s="1"/>
  <c r="I11"/>
  <c r="I23" s="1"/>
  <c r="I10"/>
  <c r="I22" s="1"/>
  <c r="I9"/>
  <c r="I21" s="1"/>
  <c r="H12"/>
  <c r="H24" s="1"/>
  <c r="H11"/>
  <c r="H23" s="1"/>
  <c r="H10"/>
  <c r="H22" s="1"/>
  <c r="H9"/>
  <c r="H21" s="1"/>
  <c r="G12"/>
  <c r="G24" s="1"/>
  <c r="G11"/>
  <c r="G23" s="1"/>
  <c r="G10"/>
  <c r="G22" s="1"/>
  <c r="G9"/>
  <c r="G21" s="1"/>
  <c r="F12"/>
  <c r="F24" s="1"/>
  <c r="F11"/>
  <c r="F23" s="1"/>
  <c r="F10"/>
  <c r="F22" s="1"/>
  <c r="F9"/>
  <c r="F21" s="1"/>
  <c r="E12"/>
  <c r="E24" s="1"/>
  <c r="E11"/>
  <c r="E23" s="1"/>
  <c r="E10"/>
  <c r="E22" s="1"/>
  <c r="E9"/>
  <c r="E21" s="1"/>
  <c r="D12"/>
  <c r="D24" s="1"/>
  <c r="D11"/>
  <c r="D23" s="1"/>
  <c r="D10"/>
  <c r="D22" s="1"/>
  <c r="D9"/>
  <c r="D21" s="1"/>
  <c r="C12"/>
  <c r="C24" s="1"/>
  <c r="C11"/>
  <c r="C23" s="1"/>
  <c r="C10"/>
  <c r="C22" s="1"/>
  <c r="C9"/>
  <c r="C21" s="1"/>
  <c r="B8"/>
  <c r="B20" s="1"/>
  <c r="C8"/>
  <c r="C20" s="1"/>
  <c r="AB26" l="1"/>
  <c r="AB46" s="1"/>
  <c r="AA26"/>
  <c r="Z26"/>
  <c r="Z44" s="1"/>
  <c r="AE26"/>
  <c r="AE33" s="1"/>
  <c r="AD26"/>
  <c r="X26"/>
  <c r="AH26"/>
  <c r="AC26"/>
  <c r="AC44" s="1"/>
  <c r="J37"/>
  <c r="J38" s="1"/>
  <c r="W26"/>
  <c r="W31" s="1"/>
  <c r="AG26"/>
  <c r="V26"/>
  <c r="V33" s="1"/>
  <c r="O26"/>
  <c r="O27" s="1"/>
  <c r="O37"/>
  <c r="O38" s="1"/>
  <c r="D37"/>
  <c r="D42" s="1"/>
  <c r="M37"/>
  <c r="M44" s="1"/>
  <c r="B45" s="1"/>
  <c r="E37"/>
  <c r="E40" s="1"/>
  <c r="B41" s="1"/>
  <c r="I37"/>
  <c r="I42" s="1"/>
  <c r="N37"/>
  <c r="N40" s="1"/>
  <c r="H37"/>
  <c r="H38" s="1"/>
  <c r="K37"/>
  <c r="K38" s="1"/>
  <c r="C37"/>
  <c r="C38" s="1"/>
  <c r="Q37"/>
  <c r="Q42" s="1"/>
  <c r="F37"/>
  <c r="F38" s="1"/>
  <c r="P37"/>
  <c r="P38" s="1"/>
  <c r="G37"/>
  <c r="G38" s="1"/>
  <c r="L37"/>
  <c r="L42" s="1"/>
  <c r="K26"/>
  <c r="C26"/>
  <c r="P26"/>
  <c r="Q26"/>
  <c r="Q31" s="1"/>
  <c r="N26"/>
  <c r="N29" s="1"/>
  <c r="J26"/>
  <c r="M26"/>
  <c r="M33" s="1"/>
  <c r="B34" s="1"/>
  <c r="B12"/>
  <c r="B24" s="1"/>
  <c r="B11"/>
  <c r="B23" s="1"/>
  <c r="B10"/>
  <c r="B22" s="1"/>
  <c r="B9"/>
  <c r="B21" s="1"/>
  <c r="B43" l="1"/>
  <c r="B37"/>
  <c r="B38" s="1"/>
  <c r="B39" s="1"/>
  <c r="K27"/>
  <c r="C27"/>
  <c r="J27"/>
  <c r="P27"/>
  <c r="B26"/>
  <c r="N7" i="43"/>
  <c r="H7"/>
  <c r="B7"/>
  <c r="N6"/>
  <c r="H6"/>
  <c r="B6"/>
  <c r="N5"/>
  <c r="H5"/>
  <c r="B5"/>
  <c r="N4"/>
  <c r="H4"/>
  <c r="B4"/>
  <c r="N3"/>
  <c r="H3"/>
  <c r="B3"/>
  <c r="B27" i="27" l="1"/>
  <c r="B7" i="51"/>
  <c r="B6"/>
  <c r="B5"/>
  <c r="B4"/>
  <c r="B3"/>
  <c r="B7" i="23" l="1"/>
  <c r="B6"/>
  <c r="B5"/>
  <c r="B4"/>
  <c r="B3"/>
  <c r="B7" i="46" l="1"/>
  <c r="B6"/>
  <c r="B5"/>
  <c r="N7" i="49" l="1"/>
  <c r="N6"/>
  <c r="N5"/>
  <c r="N4"/>
  <c r="H7"/>
  <c r="H6"/>
  <c r="H5"/>
  <c r="H4"/>
  <c r="B7"/>
  <c r="B6"/>
  <c r="B5"/>
  <c r="B4"/>
  <c r="B7" i="50" l="1"/>
  <c r="B6"/>
  <c r="B5"/>
  <c r="B4"/>
  <c r="B3"/>
  <c r="B7" i="48" l="1"/>
  <c r="B6"/>
  <c r="B5"/>
  <c r="B4"/>
  <c r="B3"/>
  <c r="B7" i="47" l="1"/>
  <c r="B6"/>
  <c r="B5"/>
  <c r="B4"/>
  <c r="B3"/>
  <c r="B7" i="55" l="1"/>
  <c r="B6"/>
  <c r="B5"/>
  <c r="B4"/>
  <c r="B3"/>
  <c r="B7" i="54"/>
  <c r="B6"/>
  <c r="B5"/>
  <c r="B4"/>
  <c r="B3"/>
  <c r="B7" i="36" l="1"/>
  <c r="B6"/>
  <c r="B5"/>
  <c r="B4"/>
  <c r="B3"/>
  <c r="B7" i="53" l="1"/>
  <c r="B6"/>
  <c r="B5"/>
  <c r="B4"/>
  <c r="B3"/>
  <c r="B7" i="52" l="1"/>
  <c r="B6"/>
  <c r="B5"/>
  <c r="B4"/>
  <c r="B3"/>
  <c r="B7" i="56" l="1"/>
  <c r="B6"/>
  <c r="B5"/>
  <c r="B4"/>
  <c r="B3"/>
  <c r="B7" i="35" l="1"/>
  <c r="B6"/>
  <c r="B5"/>
  <c r="B4"/>
  <c r="B3"/>
  <c r="B7" i="41" l="1"/>
  <c r="B6"/>
  <c r="B5"/>
  <c r="B4"/>
  <c r="B3"/>
  <c r="B7" i="44" l="1"/>
  <c r="B6"/>
  <c r="B5"/>
  <c r="B4"/>
  <c r="B3"/>
  <c r="B7" i="40" l="1"/>
  <c r="B6"/>
  <c r="B5"/>
  <c r="B4"/>
  <c r="B3"/>
  <c r="B7" i="39" l="1"/>
  <c r="B6"/>
  <c r="B5"/>
  <c r="B4"/>
  <c r="B3"/>
  <c r="B7" i="38" l="1"/>
  <c r="B6"/>
  <c r="B5"/>
  <c r="B4"/>
  <c r="B3"/>
  <c r="B7" i="34" l="1"/>
  <c r="B6"/>
  <c r="B5"/>
  <c r="B4"/>
  <c r="B3"/>
  <c r="B7" i="33" l="1"/>
  <c r="B6"/>
  <c r="B5"/>
  <c r="B4"/>
  <c r="B3"/>
  <c r="B20" i="37" l="1"/>
  <c r="B19"/>
  <c r="B18"/>
  <c r="B17"/>
  <c r="B16"/>
  <c r="B7"/>
  <c r="B6"/>
  <c r="B5"/>
  <c r="B4"/>
  <c r="B3"/>
  <c r="B6" i="5" l="1"/>
  <c r="B7" l="1"/>
  <c r="B5"/>
  <c r="B4"/>
  <c r="B3"/>
  <c r="G33" i="7" l="1"/>
  <c r="G32"/>
  <c r="G31"/>
  <c r="G30"/>
  <c r="G29"/>
  <c r="G20"/>
  <c r="G19"/>
  <c r="G18"/>
  <c r="G17"/>
  <c r="G16"/>
  <c r="G7"/>
  <c r="G6"/>
  <c r="G5"/>
  <c r="G4"/>
  <c r="G3"/>
  <c r="B33"/>
  <c r="B32"/>
  <c r="B31"/>
  <c r="B30"/>
  <c r="B29"/>
  <c r="B20"/>
  <c r="B19"/>
  <c r="B18"/>
  <c r="B17"/>
  <c r="B16"/>
  <c r="B7"/>
  <c r="B6"/>
  <c r="B4"/>
  <c r="B3" i="16"/>
  <c r="B5" i="32"/>
  <c r="B4"/>
  <c r="B3"/>
  <c r="B7" i="15"/>
  <c r="B6"/>
  <c r="B5"/>
  <c r="B4"/>
  <c r="B3"/>
  <c r="B7" i="42"/>
  <c r="B6"/>
  <c r="B5"/>
  <c r="B4"/>
  <c r="B3"/>
  <c r="B7" i="31"/>
  <c r="B6"/>
  <c r="B5"/>
  <c r="B4"/>
  <c r="B3"/>
  <c r="B7" i="4"/>
  <c r="B6"/>
  <c r="B5"/>
  <c r="B4"/>
  <c r="B5" i="7"/>
  <c r="B3"/>
  <c r="B7" i="16" l="1"/>
  <c r="B6"/>
  <c r="B5"/>
  <c r="B4"/>
  <c r="B7" i="32" l="1"/>
  <c r="B6"/>
  <c r="AW9" i="8" l="1"/>
  <c r="AV9"/>
  <c r="AU9"/>
  <c r="AT9"/>
  <c r="AS9"/>
  <c r="AR9"/>
  <c r="AP9"/>
  <c r="AO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H14" i="27"/>
  <c r="AH27" s="1"/>
  <c r="AG14"/>
  <c r="AG29" s="1"/>
  <c r="AE14"/>
  <c r="AD14"/>
  <c r="AC14"/>
  <c r="AB14"/>
  <c r="AA14"/>
  <c r="AA38" s="1"/>
  <c r="Z14"/>
  <c r="X14"/>
  <c r="X42" s="1"/>
  <c r="W14"/>
  <c r="V14"/>
  <c r="Q14"/>
  <c r="P14"/>
  <c r="O14"/>
  <c r="N14"/>
  <c r="M14"/>
  <c r="K14"/>
  <c r="J14"/>
  <c r="C14"/>
  <c r="B14"/>
  <c r="N9" i="43"/>
  <c r="H9"/>
  <c r="B9"/>
  <c r="B9" i="51"/>
  <c r="B9" i="50"/>
  <c r="B9" i="48"/>
  <c r="B9" i="47"/>
  <c r="B9" i="55"/>
  <c r="B9" i="54"/>
  <c r="B9" i="36"/>
  <c r="B9" i="53"/>
  <c r="B9" i="52"/>
  <c r="B9" i="56"/>
  <c r="B9" i="35"/>
  <c r="B9" i="41"/>
  <c r="B9" i="44"/>
  <c r="B9" i="40"/>
  <c r="B9" i="39"/>
  <c r="B9" i="38"/>
  <c r="B9" i="34"/>
  <c r="B9" i="33"/>
  <c r="B22" i="37"/>
  <c r="B9" i="5"/>
  <c r="G35" i="7"/>
  <c r="G22"/>
  <c r="G9"/>
  <c r="B35"/>
  <c r="B22"/>
  <c r="B9"/>
  <c r="B9" i="16"/>
  <c r="B9" i="32"/>
  <c r="B9" i="15"/>
  <c r="B9" i="42" l="1"/>
  <c r="B9" i="37"/>
  <c r="X8" i="1" l="1"/>
  <c r="F8" l="1"/>
  <c r="F27" l="1"/>
  <c r="G27" s="1"/>
  <c r="D27"/>
  <c r="E27" s="1"/>
  <c r="G20" l="1"/>
  <c r="G21"/>
  <c r="F5"/>
  <c r="G5" s="1"/>
  <c r="G8"/>
  <c r="F11"/>
  <c r="G11" s="1"/>
  <c r="F12"/>
  <c r="G12" s="1"/>
  <c r="F13"/>
  <c r="G13" s="1"/>
  <c r="F14"/>
  <c r="G14" s="1"/>
  <c r="F15"/>
  <c r="G15" s="1"/>
  <c r="G19"/>
  <c r="F22"/>
  <c r="G22" s="1"/>
  <c r="F23"/>
  <c r="G23" s="1"/>
  <c r="F24"/>
  <c r="G24" s="1"/>
  <c r="D5"/>
  <c r="D6"/>
  <c r="D7"/>
  <c r="D10"/>
  <c r="D11"/>
  <c r="D12"/>
  <c r="D13"/>
  <c r="D14"/>
  <c r="D15"/>
  <c r="D16"/>
  <c r="D17"/>
  <c r="D18"/>
  <c r="D22"/>
  <c r="D23"/>
  <c r="D24"/>
  <c r="D25"/>
  <c r="D26"/>
  <c r="E18" l="1"/>
  <c r="E19"/>
  <c r="E20"/>
  <c r="E16"/>
  <c r="E15"/>
  <c r="E13"/>
  <c r="E17"/>
  <c r="E21"/>
  <c r="E14"/>
  <c r="F4"/>
  <c r="G4" s="1"/>
  <c r="E25"/>
  <c r="E26"/>
  <c r="E24"/>
  <c r="E5"/>
  <c r="E6"/>
  <c r="E7"/>
  <c r="E8"/>
  <c r="E9"/>
  <c r="E10"/>
  <c r="E11"/>
  <c r="E12"/>
  <c r="E22"/>
  <c r="D4"/>
  <c r="E4" s="1"/>
  <c r="E29" l="1"/>
  <c r="E23"/>
  <c r="B9" i="31" l="1"/>
  <c r="AQ2" i="8" l="1"/>
  <c r="AQ9" s="1"/>
  <c r="AN2"/>
  <c r="AN9" s="1"/>
  <c r="AM2" l="1"/>
  <c r="AM9" s="1"/>
  <c r="H2" i="49" l="1"/>
  <c r="B2" i="23" l="1"/>
  <c r="B9" s="1"/>
  <c r="B2" i="46" l="1"/>
  <c r="B2" i="4" l="1"/>
  <c r="B9" s="1"/>
  <c r="N3" i="49" l="1"/>
  <c r="N9" s="1"/>
  <c r="H3" l="1"/>
  <c r="H9" s="1"/>
  <c r="B3" i="46" l="1"/>
  <c r="B9" s="1"/>
  <c r="B3" i="49" l="1"/>
  <c r="B9" s="1"/>
  <c r="AL14" i="27" l="1"/>
  <c r="AL54" s="1"/>
  <c r="AL20"/>
  <c r="AL26" s="1"/>
  <c r="AN14"/>
  <c r="AN38" s="1"/>
  <c r="AN20"/>
  <c r="AN26" s="1"/>
  <c r="AJ14"/>
  <c r="AJ50" s="1"/>
  <c r="AJ20"/>
  <c r="AJ26" s="1"/>
  <c r="AJ48" s="1"/>
  <c r="AO14"/>
  <c r="AO20"/>
  <c r="AO26" s="1"/>
  <c r="AO46" s="1"/>
  <c r="AM14"/>
  <c r="AM56" s="1"/>
  <c r="AM20"/>
  <c r="AM26" s="1"/>
  <c r="AK14"/>
  <c r="AK52" s="1"/>
  <c r="AK20"/>
  <c r="AK26" s="1"/>
  <c r="AI14"/>
  <c r="AI50" s="1"/>
  <c r="AI20"/>
  <c r="AI26" s="1"/>
  <c r="AI48" s="1"/>
  <c r="I8"/>
  <c r="I14" l="1"/>
  <c r="I20"/>
  <c r="I26" s="1"/>
  <c r="I31" s="1"/>
  <c r="L8"/>
  <c r="G8"/>
  <c r="F8"/>
  <c r="E8"/>
  <c r="D8"/>
  <c r="H8"/>
  <c r="AF14" l="1"/>
  <c r="AF20"/>
  <c r="AF26" s="1"/>
  <c r="Y14"/>
  <c r="Y35" s="1"/>
  <c r="Y20"/>
  <c r="Y26" s="1"/>
  <c r="D14"/>
  <c r="D20"/>
  <c r="D26" s="1"/>
  <c r="D31" s="1"/>
  <c r="H14"/>
  <c r="H20"/>
  <c r="H26" s="1"/>
  <c r="L14"/>
  <c r="L20"/>
  <c r="L26" s="1"/>
  <c r="L31" s="1"/>
  <c r="G14"/>
  <c r="G20"/>
  <c r="G26" s="1"/>
  <c r="F14"/>
  <c r="F20"/>
  <c r="F26" s="1"/>
  <c r="E14"/>
  <c r="E20"/>
  <c r="E26" s="1"/>
  <c r="E29" s="1"/>
  <c r="B30" s="1"/>
  <c r="B32" l="1"/>
  <c r="D27"/>
  <c r="H27"/>
  <c r="F27"/>
  <c r="G27"/>
  <c r="B28" l="1"/>
</calcChain>
</file>

<file path=xl/sharedStrings.xml><?xml version="1.0" encoding="utf-8"?>
<sst xmlns="http://schemas.openxmlformats.org/spreadsheetml/2006/main" count="825" uniqueCount="354">
  <si>
    <t>Área do Teto</t>
  </si>
  <si>
    <t>Área do Piso</t>
  </si>
  <si>
    <t>Perímetro Interno</t>
  </si>
  <si>
    <t>Área das Paredes</t>
  </si>
  <si>
    <t>Circulação</t>
  </si>
  <si>
    <t>DML</t>
  </si>
  <si>
    <t>Recepção</t>
  </si>
  <si>
    <t>A DESCONTAR</t>
  </si>
  <si>
    <t>Dim. Horiz. Interna</t>
  </si>
  <si>
    <t>Dim. Vert. Interna</t>
  </si>
  <si>
    <t>Janela 1</t>
  </si>
  <si>
    <t>Dim. Horiz.</t>
  </si>
  <si>
    <t>Dim. Vertical</t>
  </si>
  <si>
    <t>Janela 2</t>
  </si>
  <si>
    <t>Janela 3</t>
  </si>
  <si>
    <t>Janela 4</t>
  </si>
  <si>
    <t>Porta 1</t>
  </si>
  <si>
    <t>Porta 2</t>
  </si>
  <si>
    <t>Porta 3</t>
  </si>
  <si>
    <t>Porta 4</t>
  </si>
  <si>
    <t>Porta 5</t>
  </si>
  <si>
    <t>Porta 6</t>
  </si>
  <si>
    <t>PÉ-DIREITO:</t>
  </si>
  <si>
    <t>Boqueta</t>
  </si>
  <si>
    <t>Vão Passagem</t>
  </si>
  <si>
    <t>Fachada</t>
  </si>
  <si>
    <t>Platibanda</t>
  </si>
  <si>
    <t>TOTAL</t>
  </si>
  <si>
    <t>Chapim metálico</t>
  </si>
  <si>
    <t>Rufo e contra-rufo</t>
  </si>
  <si>
    <t>Calha de chapa galvanizada</t>
  </si>
  <si>
    <t>Assento Articulado para Chuveiro PNE</t>
  </si>
  <si>
    <t>Assento Branco Para Vaso</t>
  </si>
  <si>
    <t>Ducha Higiênica</t>
  </si>
  <si>
    <t>Saboneteira para Sabonete Líquido</t>
  </si>
  <si>
    <t>Porta Papel Toalha</t>
  </si>
  <si>
    <t>Papeleira Metálica Cromada, Inclusive Fixação</t>
  </si>
  <si>
    <t>Bancada em Granito, Apoiada em Metalon</t>
  </si>
  <si>
    <t>Bancada em Granito, Apoiada em Alvenaria</t>
  </si>
  <si>
    <t>Chuveiro Elétrico Comum</t>
  </si>
  <si>
    <t>Correr</t>
  </si>
  <si>
    <t>Abrir</t>
  </si>
  <si>
    <t>Central Elétrica</t>
  </si>
  <si>
    <t>Elevador 1</t>
  </si>
  <si>
    <t>Elevador 2</t>
  </si>
  <si>
    <t>Estacionamento</t>
  </si>
  <si>
    <t>Elevador Entrada</t>
  </si>
  <si>
    <t>Esterilização</t>
  </si>
  <si>
    <t>Guarda Materiais</t>
  </si>
  <si>
    <t>Grupo Gerador</t>
  </si>
  <si>
    <t>Dep. Roupa Suja</t>
  </si>
  <si>
    <t>Shaft 1</t>
  </si>
  <si>
    <t>Elevador</t>
  </si>
  <si>
    <t>Shaft 2</t>
  </si>
  <si>
    <t>Lavagem Mater.</t>
  </si>
  <si>
    <t>Vestiário 1</t>
  </si>
  <si>
    <t>Central Gases</t>
  </si>
  <si>
    <t>Vestiário 2</t>
  </si>
  <si>
    <t>Shaft 3</t>
  </si>
  <si>
    <t>Cobertura em telha metálica</t>
  </si>
  <si>
    <t>Impermeabilização com manta asfáltica</t>
  </si>
  <si>
    <t>Camada de regularização argamassa</t>
  </si>
  <si>
    <t>Guarda Cadáver</t>
  </si>
  <si>
    <t>Armazenamento RSS</t>
  </si>
  <si>
    <t>J1</t>
  </si>
  <si>
    <t>Pele Vidro</t>
  </si>
  <si>
    <t>Vidro Temp.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</si>
  <si>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</si>
  <si>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</si>
  <si>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</si>
  <si>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</si>
  <si>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</si>
  <si>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</si>
  <si>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</si>
  <si>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</si>
  <si>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</si>
  <si>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</si>
  <si>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</si>
  <si>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J13</t>
  </si>
  <si>
    <t>J14</t>
  </si>
  <si>
    <t>J15</t>
  </si>
  <si>
    <t>J16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</si>
  <si>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</si>
  <si>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</si>
  <si>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</si>
  <si>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</si>
  <si>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</si>
  <si>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</si>
  <si>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</si>
  <si>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</si>
  <si>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</si>
  <si>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</si>
  <si>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</si>
  <si>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</si>
  <si>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</si>
  <si>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 = 0</t>
  </si>
  <si>
    <t>P = 165</t>
  </si>
  <si>
    <t>200x100</t>
  </si>
  <si>
    <t>P = 185</t>
  </si>
  <si>
    <t>415x100</t>
  </si>
  <si>
    <t>335x100</t>
  </si>
  <si>
    <t>220x100</t>
  </si>
  <si>
    <t>1155x100</t>
  </si>
  <si>
    <t>1390x100</t>
  </si>
  <si>
    <t>100x80</t>
  </si>
  <si>
    <t>150x100</t>
  </si>
  <si>
    <t>Bascul.</t>
  </si>
  <si>
    <t>Máx. Ar</t>
  </si>
  <si>
    <t>210x210</t>
  </si>
  <si>
    <t>80x210</t>
  </si>
  <si>
    <t>90x210</t>
  </si>
  <si>
    <t>160x210</t>
  </si>
  <si>
    <t>300x210</t>
  </si>
  <si>
    <t>770x350</t>
  </si>
  <si>
    <t>110x210</t>
  </si>
  <si>
    <t>120x210</t>
  </si>
  <si>
    <t>4 Folhas</t>
  </si>
  <si>
    <t>1 Folha</t>
  </si>
  <si>
    <t>2 Folhas</t>
  </si>
  <si>
    <t>Aço Carb. Vid. Lam.</t>
  </si>
  <si>
    <t>Vid Temp - Pele Vid</t>
  </si>
  <si>
    <t>Madeira Lami Mel</t>
  </si>
  <si>
    <t>Venez Metálica</t>
  </si>
  <si>
    <t>Madeira Rev Chum</t>
  </si>
  <si>
    <t>Madeira com Visor</t>
  </si>
  <si>
    <t>Escada I</t>
  </si>
  <si>
    <t>Escada II</t>
  </si>
  <si>
    <t>500x100</t>
  </si>
  <si>
    <t>Pele de Vidro</t>
  </si>
  <si>
    <t>275x100</t>
  </si>
  <si>
    <t>710x100</t>
  </si>
  <si>
    <t>105x180</t>
  </si>
  <si>
    <t>P = 100</t>
  </si>
  <si>
    <t>775x295</t>
  </si>
  <si>
    <t>P = 50</t>
  </si>
  <si>
    <t>480x265</t>
  </si>
  <si>
    <t>300x100</t>
  </si>
  <si>
    <t>500x265</t>
  </si>
  <si>
    <t>Assento para Vaso PNE</t>
  </si>
  <si>
    <t>Vaso Sanit com Válvula de Descarga (PNE) e Sóculo</t>
  </si>
  <si>
    <t>Vaso Sanitário com Válvula de Descarga</t>
  </si>
  <si>
    <t>Espelho Cristal, e = 4 mm, Paraf Parede, h = 90 cm</t>
  </si>
  <si>
    <t>Braço para Chuveiro</t>
  </si>
  <si>
    <t>Porta Álcool em Gel</t>
  </si>
  <si>
    <t>Barra para PNE vaso sanitário 80cm (horizontal)</t>
  </si>
  <si>
    <t>Barra para PNE vaso sanitário 70cm (vertical)</t>
  </si>
  <si>
    <t>Barra para PNE chuveiro 70cm (vertical)</t>
  </si>
  <si>
    <t>Barra para PNE chuveiro 70cm (horizontal)</t>
  </si>
  <si>
    <t>Papeleira Plástica para Papel Higiênico Rolão</t>
  </si>
  <si>
    <t>Cabide Metálico Cromado</t>
  </si>
  <si>
    <t>Tanque de Louça Branca</t>
  </si>
  <si>
    <t>Torneira para Tanque em Metal Cromado</t>
  </si>
  <si>
    <t>Testeira em Granito Cinza Andorinha</t>
  </si>
  <si>
    <t>Rodabancada em Granito Cinza Andorinha e=10 cm</t>
  </si>
  <si>
    <t>Cuba de Louça Branca Oval de Embutir</t>
  </si>
  <si>
    <t>Lavatório Médio com Coluna</t>
  </si>
  <si>
    <t>Lavatório Médio sem Coluna</t>
  </si>
  <si>
    <t>Torneira para Lavatório</t>
  </si>
  <si>
    <t>Torneira de Mesa para Pia de Cozinha</t>
  </si>
  <si>
    <t>Bojo em Aço Inox</t>
  </si>
  <si>
    <t>Divisória em Granito Cinza Andorinha</t>
  </si>
  <si>
    <t>Bebedouro</t>
  </si>
  <si>
    <t>Protetor de Parede Bate-Maca</t>
  </si>
  <si>
    <t>Corrimão</t>
  </si>
  <si>
    <t>Guarda-Corpo</t>
  </si>
  <si>
    <t>Alçapão</t>
  </si>
  <si>
    <t>Plantio de Grama Esmeralda</t>
  </si>
  <si>
    <t>Barra para PNE lavatório 40cm (vertical)</t>
  </si>
  <si>
    <t>Barra para PNE lavatório 80cm ("U")</t>
  </si>
  <si>
    <t>Barra para PNE porta 40cm (horizontal)</t>
  </si>
  <si>
    <t>Torneira para Bebedouro</t>
  </si>
  <si>
    <t>Pia de Despejo</t>
  </si>
  <si>
    <t>Peitoril de Granito Cinza Andorinha</t>
  </si>
  <si>
    <t>Drywall</t>
  </si>
  <si>
    <t>Divisória em Vidro Temperado</t>
  </si>
  <si>
    <t>Divisória em Fórmica</t>
  </si>
  <si>
    <t>Escada Marinheiro</t>
  </si>
  <si>
    <t>Referente ao item 7.1</t>
  </si>
  <si>
    <t>Referente ao item 7.2</t>
  </si>
  <si>
    <t>Referente ao item 7.5</t>
  </si>
  <si>
    <t>Referente ao item 7.3</t>
  </si>
  <si>
    <t>Referente ao item 7.4</t>
  </si>
  <si>
    <t>Referente ao item 10.1 e 10.2</t>
  </si>
  <si>
    <t>Referente ao item 10.3</t>
  </si>
  <si>
    <t>Referente ao item 10.5</t>
  </si>
  <si>
    <t>Referente ao item 10.6</t>
  </si>
  <si>
    <t>Referente ao item 12.1.1</t>
  </si>
  <si>
    <t>Referente ao item 12.1.7</t>
  </si>
  <si>
    <t>Referente ao item 12.2.1</t>
  </si>
  <si>
    <t>Referente ao item 12.1.5</t>
  </si>
  <si>
    <t>NÃO TEM</t>
  </si>
  <si>
    <t>Referente ao item 12.1.2</t>
  </si>
  <si>
    <t>Referente ao item 9.5</t>
  </si>
  <si>
    <t>Referente ao item 9.7 e 9.8</t>
  </si>
  <si>
    <t>Referente ao item 9.12</t>
  </si>
  <si>
    <t>Referente ao item 9.13</t>
  </si>
  <si>
    <t>Referente ao item 9.3</t>
  </si>
  <si>
    <t>Referente ao item 9.11</t>
  </si>
  <si>
    <t>Referente ao item 9.10</t>
  </si>
  <si>
    <t>Referente ao item 9.9</t>
  </si>
  <si>
    <t>14.1.1</t>
  </si>
  <si>
    <t>14.1.2</t>
  </si>
  <si>
    <t>14.1.5</t>
  </si>
  <si>
    <t>14.1.4</t>
  </si>
  <si>
    <t>14.1.12</t>
  </si>
  <si>
    <t>14.1.11</t>
  </si>
  <si>
    <t>14.1.8</t>
  </si>
  <si>
    <t>14.1.14</t>
  </si>
  <si>
    <t>14.1.24</t>
  </si>
  <si>
    <t>14.1.3</t>
  </si>
  <si>
    <t>14.1.6</t>
  </si>
  <si>
    <t>13.6</t>
  </si>
  <si>
    <t>14.1.13</t>
  </si>
  <si>
    <t>14.1.10</t>
  </si>
  <si>
    <t>14.1.9</t>
  </si>
  <si>
    <t>14.1.23</t>
  </si>
  <si>
    <t>13.3</t>
  </si>
  <si>
    <t>13.5</t>
  </si>
  <si>
    <t>13.4</t>
  </si>
  <si>
    <t>14.1.16</t>
  </si>
  <si>
    <t>14.1.15</t>
  </si>
  <si>
    <t>14.1.17</t>
  </si>
  <si>
    <t>14.1.18</t>
  </si>
  <si>
    <t>14.1.19</t>
  </si>
  <si>
    <t>14.1.20</t>
  </si>
  <si>
    <t>13.2</t>
  </si>
  <si>
    <t>14.1.22</t>
  </si>
  <si>
    <t>14.1.21</t>
  </si>
  <si>
    <t>13.8</t>
  </si>
  <si>
    <t>13.9</t>
  </si>
  <si>
    <t>13.10</t>
  </si>
  <si>
    <t>13.11</t>
  </si>
  <si>
    <t>13.13</t>
  </si>
  <si>
    <t>13.7</t>
  </si>
  <si>
    <t>14.1.7</t>
  </si>
  <si>
    <t>13.1</t>
  </si>
  <si>
    <t>7.6</t>
  </si>
  <si>
    <t>TÉRREO</t>
  </si>
  <si>
    <t>1º PAVTO.</t>
  </si>
  <si>
    <t>2º PAVTO.</t>
  </si>
  <si>
    <t>3º PAVTO.</t>
  </si>
  <si>
    <t>4º PAVTO.</t>
  </si>
  <si>
    <t>COBERTURA</t>
  </si>
  <si>
    <t>ALVENARIA ACABADA COM 15 cm</t>
  </si>
  <si>
    <t>ALVENARIA ACABADA COM 20 cm</t>
  </si>
  <si>
    <t>ENCUNHAMENTO DE ALVENARIA</t>
  </si>
  <si>
    <t>VERGAS DE JANELAS</t>
  </si>
  <si>
    <t>CONTRA-VERGAS DE JANELAS</t>
  </si>
  <si>
    <t>VERGAS DE PORTAS</t>
  </si>
  <si>
    <t>CHAPISCO DE PAREDES</t>
  </si>
  <si>
    <t>REBOCO DE PAREDES</t>
  </si>
  <si>
    <t>REBOCO DE PAREDES COM ARGAMASSA BARITADA</t>
  </si>
  <si>
    <t>EMBOÇO DE PAREDES</t>
  </si>
  <si>
    <t>CERÂMICA DE PAREDES</t>
  </si>
  <si>
    <t>SELADOR EM PAREDES</t>
  </si>
  <si>
    <t>EMASSAMENTO DE PAREDES</t>
  </si>
  <si>
    <t>PINTURA EM EPÓXI DE PAREDES</t>
  </si>
  <si>
    <t>PINTURA EM EPÓXI PARA DEMARCAÇÃO</t>
  </si>
  <si>
    <t>PINTURA EM TINTA ACRÍLICA</t>
  </si>
  <si>
    <t>CHAPISCO NO TETO</t>
  </si>
  <si>
    <t>REBOCO NO TETO</t>
  </si>
  <si>
    <t>EMASSAMENTO NO TETO</t>
  </si>
  <si>
    <t>PINTURA NO TETO</t>
  </si>
  <si>
    <t>FORRO DE GESSO</t>
  </si>
  <si>
    <t>EMASSAMENTO NO FORRO DE GESSO</t>
  </si>
  <si>
    <t>PINTURA NO FORRO DE GESSO</t>
  </si>
  <si>
    <t>PISO DE PORCELANATO</t>
  </si>
  <si>
    <t>PISO EM CERÂMICA</t>
  </si>
  <si>
    <t>PISO EM CONCRETO POLIDO</t>
  </si>
  <si>
    <t>PISO EM GRANITO POLIDO</t>
  </si>
  <si>
    <t>PISO EM GRANITO TEXTURIZADO</t>
  </si>
  <si>
    <t>FAIXA ANTI-DERRAPANTE</t>
  </si>
  <si>
    <t>CONTRA-PISO</t>
  </si>
  <si>
    <t>PASSEIO EM CONCRETO</t>
  </si>
  <si>
    <t>SOLEIRA EM GRANITO</t>
  </si>
  <si>
    <t>RODAPÉ EM PORCELANATO</t>
  </si>
  <si>
    <t>RODAPÉ EM CERÂMICA</t>
  </si>
  <si>
    <t>RODAPÉ EM GRANITO</t>
  </si>
  <si>
    <t>P14</t>
  </si>
  <si>
    <t>P15</t>
  </si>
  <si>
    <t>P16</t>
  </si>
  <si>
    <t>P17</t>
  </si>
  <si>
    <t>P18</t>
  </si>
  <si>
    <t>P19</t>
  </si>
  <si>
    <t>P20</t>
  </si>
  <si>
    <t>500x350</t>
  </si>
  <si>
    <t>70x210</t>
  </si>
  <si>
    <t>60x150</t>
  </si>
  <si>
    <t>90x180</t>
  </si>
  <si>
    <t>70x180</t>
  </si>
  <si>
    <t>Chapa Lisa Met</t>
  </si>
  <si>
    <t>Grade Metálica</t>
  </si>
  <si>
    <t>MDF Lami Mel</t>
  </si>
  <si>
    <t>Chapa Galvaniz</t>
  </si>
  <si>
    <t>J17</t>
  </si>
  <si>
    <t>J18</t>
  </si>
  <si>
    <t>Vidro Aramado</t>
  </si>
  <si>
    <t>450x100</t>
  </si>
  <si>
    <t>P21</t>
  </si>
  <si>
    <t>Grade</t>
  </si>
  <si>
    <t>REVESTIMENTO CERÂMICO NA FACHADA</t>
  </si>
  <si>
    <t>Referente ao item 8.1.1</t>
  </si>
  <si>
    <t>Referente ao item 8.1.2</t>
  </si>
  <si>
    <t>Referente ao item 8.1.6</t>
  </si>
  <si>
    <t>Referente ao item 8.1.3</t>
  </si>
  <si>
    <t>Referente ao item 8.1.8</t>
  </si>
  <si>
    <t>Referente ao item 10.9</t>
  </si>
  <si>
    <t>Referente ao item 10.10</t>
  </si>
  <si>
    <t>Referente ao item 12.1.9</t>
  </si>
  <si>
    <t>Referente ao item 8.2.1</t>
  </si>
  <si>
    <t>Referente ao item 8.2.2</t>
  </si>
  <si>
    <t>Referente ao item 12.1.8</t>
  </si>
  <si>
    <t>Referente ao item 10.8</t>
  </si>
  <si>
    <t>Referente ao item 9.14</t>
  </si>
  <si>
    <t>Referente ao item 9.16</t>
  </si>
  <si>
    <t>Referente ao item 9.15</t>
  </si>
  <si>
    <t>ÁREA</t>
  </si>
  <si>
    <t>3º e 4º PAVTO</t>
  </si>
  <si>
    <t>PELE DE VIDRO
Ref  item 11.2</t>
  </si>
  <si>
    <t>VIDRO ARAMADO
Ref  item 11.16</t>
  </si>
  <si>
    <t>AÇO CARBONO
Ref  item 11.17</t>
  </si>
  <si>
    <t>VIDRO TEMPERADO
Ref  11.1 e 11.3</t>
  </si>
  <si>
    <t>CHUMBO - 80x210
Ref  item 11.7</t>
  </si>
  <si>
    <t>CHUMBO - 120x210
Ref  item 11.8</t>
  </si>
  <si>
    <t>Madeira Lami Mel - 80X210
Ref  item 11.19</t>
  </si>
  <si>
    <t>Madeira Lami Mel - 90X210
Ref  item 11.20</t>
  </si>
  <si>
    <t>Madeira Lami Mel - 110X210
Ref  item 11.21</t>
  </si>
  <si>
    <t>Madeira Lami Mel - 210X210
Ref  item 11.22</t>
  </si>
  <si>
    <t>Venezina Metálica
Ref  item 11.10</t>
  </si>
  <si>
    <t>Chapa Lisa Met
Ref  item 11.23</t>
  </si>
  <si>
    <t>13.15</t>
  </si>
  <si>
    <t>MDF Lami Mel
Ref  item 13.16</t>
  </si>
  <si>
    <t>MDF Lami Mel
Ref  item 13.15</t>
  </si>
  <si>
    <t>Chapa Galvaniz - 60X150
Ref  item 11.24</t>
  </si>
  <si>
    <t>Chapa Galvaniz - 90X180
Ref  item 11.25</t>
  </si>
  <si>
    <t>Chapa Galvaniz - 70X180
Ref  item 11.26</t>
  </si>
  <si>
    <t>11.27</t>
  </si>
  <si>
    <t>11.1 e 11.3</t>
  </si>
  <si>
    <t>Elevador 1, Elevador 2, Elevador Entrada, Shaft 1, Elevador, Shaft 2, Shaft 3</t>
  </si>
  <si>
    <t>Shaft, Elevador 1, Elevador 2, Elevador, Shaft, Elevador, Shaft, Shaft</t>
  </si>
  <si>
    <t>Elevador, Shaft, Shaft, Shaft, Elevador, Elevador 1, Elevador 2</t>
  </si>
  <si>
    <t>Centro Diagnóstico, Elevador, Elevador 1, Elevador 2, Shaft, Shaft, Elevador, Shaft</t>
  </si>
  <si>
    <t>Shaft, Casa Máquinas 1, Shaft, Casa Máquinas 2, Casa Máquinas 3</t>
  </si>
  <si>
    <t>PISO DE BORRACHA</t>
  </si>
  <si>
    <t>14.1.27</t>
  </si>
  <si>
    <t>14.1.26</t>
  </si>
  <si>
    <t>14.1.30</t>
  </si>
  <si>
    <t>775x310</t>
  </si>
  <si>
    <t>J19</t>
  </si>
  <si>
    <t>775x640</t>
  </si>
  <si>
    <t>P22</t>
  </si>
  <si>
    <t>P24</t>
  </si>
  <si>
    <t>155x210</t>
  </si>
  <si>
    <t>Corta-Fogo</t>
  </si>
</sst>
</file>

<file path=xl/styles.xml><?xml version="1.0" encoding="utf-8"?>
<styleSheet xmlns="http://schemas.openxmlformats.org/spreadsheetml/2006/main">
  <numFmts count="8">
    <numFmt numFmtId="164" formatCode="0.00\ &quot;m²&quot;"/>
    <numFmt numFmtId="165" formatCode="0.00\ &quot;m&quot;"/>
    <numFmt numFmtId="166" formatCode="0,000.00\ &quot;m²&quot;"/>
    <numFmt numFmtId="167" formatCode="0\ &quot;unidade&quot;"/>
    <numFmt numFmtId="168" formatCode="0\ &quot;unidades&quot;"/>
    <numFmt numFmtId="169" formatCode="0\ &quot;unid.&quot;"/>
    <numFmt numFmtId="170" formatCode="0.00\ &quot;m³&quot;"/>
    <numFmt numFmtId="171" formatCode="0,000.00\ &quot;m&quot;"/>
  </numFmts>
  <fonts count="5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0" borderId="0" xfId="0" applyFont="1"/>
    <xf numFmtId="164" fontId="1" fillId="0" borderId="1" xfId="0" applyNumberFormat="1" applyFont="1" applyFill="1" applyBorder="1" applyAlignment="1">
      <alignment horizontal="center" vertical="center"/>
    </xf>
    <xf numFmtId="0" fontId="0" fillId="0" borderId="0" xfId="0"/>
    <xf numFmtId="165" fontId="3" fillId="0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165" fontId="4" fillId="2" borderId="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3" fillId="0" borderId="6" xfId="0" applyNumberFormat="1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165" fontId="3" fillId="3" borderId="6" xfId="0" applyNumberFormat="1" applyFont="1" applyFill="1" applyBorder="1" applyAlignment="1">
      <alignment horizontal="center" vertical="center"/>
    </xf>
    <xf numFmtId="165" fontId="3" fillId="3" borderId="7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9" fontId="2" fillId="0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4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" fillId="0" borderId="0" xfId="0" applyFont="1" applyFill="1" applyBorder="1"/>
    <xf numFmtId="0" fontId="2" fillId="2" borderId="1" xfId="0" applyFont="1" applyFill="1" applyBorder="1" applyAlignment="1">
      <alignment horizontal="center"/>
    </xf>
    <xf numFmtId="0" fontId="1" fillId="0" borderId="0" xfId="0" applyFont="1" applyFill="1"/>
    <xf numFmtId="0" fontId="2" fillId="4" borderId="8" xfId="0" applyFont="1" applyFill="1" applyBorder="1" applyAlignment="1">
      <alignment horizontal="center"/>
    </xf>
    <xf numFmtId="0" fontId="1" fillId="0" borderId="9" xfId="0" applyFont="1" applyFill="1" applyBorder="1"/>
    <xf numFmtId="0" fontId="2" fillId="4" borderId="1" xfId="0" applyFont="1" applyFill="1" applyBorder="1" applyAlignment="1">
      <alignment horizontal="center"/>
    </xf>
    <xf numFmtId="167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0" fillId="0" borderId="0" xfId="0" applyNumberFormat="1"/>
    <xf numFmtId="166" fontId="0" fillId="0" borderId="0" xfId="0" applyNumberForma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9" fontId="2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horizontal="center"/>
    </xf>
    <xf numFmtId="3" fontId="0" fillId="5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166" fontId="2" fillId="0" borderId="6" xfId="0" applyNumberFormat="1" applyFont="1" applyFill="1" applyBorder="1" applyAlignment="1">
      <alignment horizontal="center" vertical="center"/>
    </xf>
    <xf numFmtId="166" fontId="2" fillId="0" borderId="7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71" fontId="2" fillId="0" borderId="6" xfId="0" applyNumberFormat="1" applyFont="1" applyFill="1" applyBorder="1" applyAlignment="1">
      <alignment horizontal="center" vertical="center"/>
    </xf>
    <xf numFmtId="171" fontId="2" fillId="0" borderId="7" xfId="0" applyNumberFormat="1" applyFont="1" applyFill="1" applyBorder="1" applyAlignment="1">
      <alignment horizontal="center" vertical="center"/>
    </xf>
    <xf numFmtId="165" fontId="2" fillId="0" borderId="6" xfId="0" applyNumberFormat="1" applyFont="1" applyFill="1" applyBorder="1" applyAlignment="1">
      <alignment horizontal="center" vertical="center"/>
    </xf>
    <xf numFmtId="165" fontId="2" fillId="0" borderId="7" xfId="0" applyNumberFormat="1" applyFont="1" applyFill="1" applyBorder="1" applyAlignment="1">
      <alignment horizontal="center" vertical="center"/>
    </xf>
    <xf numFmtId="170" fontId="2" fillId="0" borderId="6" xfId="0" applyNumberFormat="1" applyFont="1" applyFill="1" applyBorder="1" applyAlignment="1">
      <alignment horizontal="center" vertical="center"/>
    </xf>
    <xf numFmtId="170" fontId="2" fillId="0" borderId="7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9" fontId="2" fillId="0" borderId="6" xfId="0" applyNumberFormat="1" applyFont="1" applyFill="1" applyBorder="1" applyAlignment="1">
      <alignment horizontal="center" vertical="center" wrapText="1"/>
    </xf>
    <xf numFmtId="169" fontId="2" fillId="0" borderId="10" xfId="0" applyNumberFormat="1" applyFont="1" applyFill="1" applyBorder="1" applyAlignment="1">
      <alignment horizontal="center" vertical="center" wrapText="1"/>
    </xf>
    <xf numFmtId="169" fontId="2" fillId="0" borderId="7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69" fontId="2" fillId="0" borderId="11" xfId="0" applyNumberFormat="1" applyFont="1" applyFill="1" applyBorder="1" applyAlignment="1">
      <alignment horizontal="center" vertical="center"/>
    </xf>
    <xf numFmtId="169" fontId="2" fillId="0" borderId="1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9" fontId="2" fillId="3" borderId="0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9" fontId="2" fillId="0" borderId="9" xfId="0" applyNumberFormat="1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center" vertical="center"/>
    </xf>
    <xf numFmtId="169" fontId="2" fillId="0" borderId="1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externalLink" Target="externalLinks/externalLink4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em&#243;ria%20de%20C&#225;lculo%20-%20UPA%20-%20Terre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Mem&#243;ria%20de%20C&#225;lculo%20-%20UPA%20-%201&#186;%20Pavt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Mem&#243;ria%20de%20C&#225;lculo%20-%20UPA%20-%202&#186;%20Pavt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Mem&#243;ria%20de%20C&#225;lculo%20-%20UPA%20-%203&#186;%20Pavto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Mem&#243;ria%20de%20C&#225;lculo%20-%20UPA%20-%204&#186;%20Pavto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Mem&#243;ria%20de%20C&#225;lculo%20-%20UPA%20-%20Cobertur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mória"/>
      <sheetName val="Alv15"/>
      <sheetName val="Alv20"/>
      <sheetName val="Encun"/>
      <sheetName val="Ver_Jan"/>
      <sheetName val="Con_Ver"/>
      <sheetName val="Ver_Por"/>
      <sheetName val="Cob"/>
      <sheetName val="Chap_Par"/>
      <sheetName val="Reb_Par"/>
      <sheetName val="Embç_Par"/>
      <sheetName val="Cerâm_Par"/>
      <sheetName val="Selad_Par"/>
      <sheetName val="Emass_Par"/>
      <sheetName val="Pint_Epox_Par"/>
      <sheetName val="Pint_Epox_Demarc"/>
      <sheetName val="Pint_Acr_Par"/>
      <sheetName val="Chap_Tet"/>
      <sheetName val="Reb_Tet"/>
      <sheetName val="Emass_Tet"/>
      <sheetName val="Pint_Tet"/>
      <sheetName val="For_Ges"/>
      <sheetName val="Emass_For_Ges"/>
      <sheetName val="Pint_For_Ges"/>
      <sheetName val="Pis_Porce"/>
      <sheetName val="Pis_Cer"/>
      <sheetName val="Pis_Conc_Poli"/>
      <sheetName val="Pis_Grani"/>
      <sheetName val="Con_Pis"/>
      <sheetName val="Piso_Borracha"/>
      <sheetName val="Passeio"/>
      <sheetName val="Soleira"/>
      <sheetName val="Rodape"/>
      <sheetName val="Esquad"/>
      <sheetName val="Diver"/>
      <sheetName val="Rev_Cer_Fachada"/>
    </sheetNames>
    <sheetDataSet>
      <sheetData sheetId="0"/>
      <sheetData sheetId="1">
        <row r="83">
          <cell r="B83">
            <v>593.10750000000007</v>
          </cell>
          <cell r="C83"/>
        </row>
      </sheetData>
      <sheetData sheetId="2">
        <row r="34">
          <cell r="B34">
            <v>489.78550000000001</v>
          </cell>
          <cell r="C34"/>
        </row>
      </sheetData>
      <sheetData sheetId="3">
        <row r="103">
          <cell r="B103">
            <v>283.77999999999997</v>
          </cell>
          <cell r="C103"/>
        </row>
      </sheetData>
      <sheetData sheetId="4">
        <row r="36">
          <cell r="B36">
            <v>1.0165950000000001</v>
          </cell>
          <cell r="C36"/>
        </row>
      </sheetData>
      <sheetData sheetId="5">
        <row r="36">
          <cell r="B36">
            <v>1.0165950000000001</v>
          </cell>
          <cell r="C36"/>
        </row>
      </sheetData>
      <sheetData sheetId="6">
        <row r="49">
          <cell r="B49">
            <v>1.4437530000000001</v>
          </cell>
          <cell r="C49"/>
        </row>
      </sheetData>
      <sheetData sheetId="7">
        <row r="3">
          <cell r="B3">
            <v>0</v>
          </cell>
        </row>
        <row r="4">
          <cell r="C4">
            <v>0</v>
          </cell>
        </row>
        <row r="5">
          <cell r="C5">
            <v>0</v>
          </cell>
        </row>
        <row r="6">
          <cell r="B6">
            <v>0</v>
          </cell>
        </row>
        <row r="7">
          <cell r="B7">
            <v>0</v>
          </cell>
        </row>
        <row r="8">
          <cell r="C8">
            <v>0</v>
          </cell>
        </row>
      </sheetData>
      <sheetData sheetId="8">
        <row r="68">
          <cell r="B68">
            <v>2930.8520000000008</v>
          </cell>
          <cell r="C68"/>
        </row>
      </sheetData>
      <sheetData sheetId="9">
        <row r="51">
          <cell r="B51">
            <v>2377.2850000000003</v>
          </cell>
          <cell r="C51"/>
        </row>
        <row r="61">
          <cell r="B61">
            <v>0</v>
          </cell>
          <cell r="C61"/>
        </row>
      </sheetData>
      <sheetData sheetId="10">
        <row r="24">
          <cell r="B24">
            <v>553.56700000000001</v>
          </cell>
          <cell r="C24"/>
        </row>
      </sheetData>
      <sheetData sheetId="11">
        <row r="23">
          <cell r="B23">
            <v>420.36700000000008</v>
          </cell>
          <cell r="C23"/>
        </row>
      </sheetData>
      <sheetData sheetId="12">
        <row r="11">
          <cell r="B11">
            <v>541.73</v>
          </cell>
          <cell r="C11"/>
        </row>
      </sheetData>
      <sheetData sheetId="13">
        <row r="41">
          <cell r="B41">
            <v>1639.789</v>
          </cell>
          <cell r="C41"/>
        </row>
      </sheetData>
      <sheetData sheetId="14">
        <row r="36">
          <cell r="B36">
            <v>146.00700000000001</v>
          </cell>
          <cell r="C36"/>
        </row>
      </sheetData>
      <sheetData sheetId="15">
        <row r="6">
          <cell r="B6">
            <v>328.59999999999997</v>
          </cell>
          <cell r="C6"/>
        </row>
      </sheetData>
      <sheetData sheetId="16">
        <row r="55">
          <cell r="B55">
            <v>2035.5119999999999</v>
          </cell>
          <cell r="C55"/>
        </row>
      </sheetData>
      <sheetData sheetId="17">
        <row r="11">
          <cell r="B11">
            <v>69.981999999999999</v>
          </cell>
          <cell r="C11"/>
        </row>
      </sheetData>
      <sheetData sheetId="18">
        <row r="11">
          <cell r="B11">
            <v>69.981999999999999</v>
          </cell>
          <cell r="C11"/>
        </row>
      </sheetData>
      <sheetData sheetId="19">
        <row r="11">
          <cell r="B11">
            <v>69.981999999999999</v>
          </cell>
          <cell r="C11"/>
        </row>
      </sheetData>
      <sheetData sheetId="20">
        <row r="11">
          <cell r="B11">
            <v>69.981999999999999</v>
          </cell>
          <cell r="C11"/>
        </row>
      </sheetData>
      <sheetData sheetId="21">
        <row r="52">
          <cell r="B52">
            <v>202.11050000000003</v>
          </cell>
          <cell r="C52"/>
        </row>
      </sheetData>
      <sheetData sheetId="22">
        <row r="52">
          <cell r="B52">
            <v>202.11050000000003</v>
          </cell>
          <cell r="C52"/>
        </row>
      </sheetData>
      <sheetData sheetId="23">
        <row r="52">
          <cell r="B52">
            <v>202.11050000000003</v>
          </cell>
          <cell r="C52"/>
        </row>
      </sheetData>
      <sheetData sheetId="24">
        <row r="35">
          <cell r="B35">
            <v>37.86</v>
          </cell>
          <cell r="C35"/>
        </row>
      </sheetData>
      <sheetData sheetId="25">
        <row r="21">
          <cell r="B21">
            <v>149.1755</v>
          </cell>
          <cell r="C21"/>
        </row>
      </sheetData>
      <sheetData sheetId="26">
        <row r="7">
          <cell r="B7">
            <v>953.07900000000006</v>
          </cell>
          <cell r="C7"/>
        </row>
      </sheetData>
      <sheetData sheetId="27">
        <row r="7">
          <cell r="B7">
            <v>118.45400000000001</v>
          </cell>
          <cell r="C7"/>
        </row>
        <row r="15">
          <cell r="B15">
            <v>163.6</v>
          </cell>
        </row>
        <row r="24">
          <cell r="B24">
            <v>110.00000000000001</v>
          </cell>
        </row>
      </sheetData>
      <sheetData sheetId="28">
        <row r="57">
          <cell r="B57">
            <v>469.08950000000004</v>
          </cell>
          <cell r="C57"/>
        </row>
      </sheetData>
      <sheetData sheetId="29">
        <row r="6">
          <cell r="B6">
            <v>0</v>
          </cell>
          <cell r="C6"/>
        </row>
      </sheetData>
      <sheetData sheetId="30">
        <row r="8">
          <cell r="B8">
            <v>103.0895</v>
          </cell>
        </row>
      </sheetData>
      <sheetData sheetId="31">
        <row r="28">
          <cell r="B28">
            <v>29.79</v>
          </cell>
        </row>
      </sheetData>
      <sheetData sheetId="32">
        <row r="36">
          <cell r="B36">
            <v>27.379999999999995</v>
          </cell>
          <cell r="C36"/>
        </row>
        <row r="47">
          <cell r="B47">
            <v>49.64</v>
          </cell>
        </row>
        <row r="57">
          <cell r="B57">
            <v>63.769999999999996</v>
          </cell>
        </row>
      </sheetData>
      <sheetData sheetId="33">
        <row r="55">
          <cell r="B55"/>
          <cell r="C55"/>
          <cell r="D55"/>
          <cell r="E55"/>
          <cell r="F55"/>
          <cell r="G55">
            <v>1</v>
          </cell>
          <cell r="H55">
            <v>1</v>
          </cell>
          <cell r="I55"/>
          <cell r="J55"/>
          <cell r="K55">
            <v>1</v>
          </cell>
          <cell r="L55"/>
          <cell r="M55"/>
          <cell r="N55"/>
          <cell r="O55"/>
          <cell r="P55"/>
          <cell r="Q55"/>
          <cell r="R55">
            <v>1</v>
          </cell>
          <cell r="S55"/>
          <cell r="T55"/>
          <cell r="V55"/>
          <cell r="W55"/>
          <cell r="X55">
            <v>3</v>
          </cell>
          <cell r="Y55">
            <v>5</v>
          </cell>
          <cell r="Z55">
            <v>3</v>
          </cell>
          <cell r="AA55">
            <v>2</v>
          </cell>
          <cell r="AB55">
            <v>1</v>
          </cell>
          <cell r="AC55">
            <v>1</v>
          </cell>
          <cell r="AD55">
            <v>1</v>
          </cell>
          <cell r="AE55">
            <v>1</v>
          </cell>
          <cell r="AF55">
            <v>1</v>
          </cell>
          <cell r="AG55"/>
          <cell r="AH55"/>
          <cell r="AI55"/>
          <cell r="AJ55"/>
          <cell r="AK55">
            <v>11</v>
          </cell>
          <cell r="AL55">
            <v>2</v>
          </cell>
          <cell r="AM55"/>
          <cell r="AN55"/>
          <cell r="AO55">
            <v>2</v>
          </cell>
          <cell r="AP55"/>
          <cell r="AQ55"/>
          <cell r="AR55">
            <v>2</v>
          </cell>
        </row>
      </sheetData>
      <sheetData sheetId="34">
        <row r="57">
          <cell r="B57">
            <v>2</v>
          </cell>
          <cell r="C57">
            <v>2</v>
          </cell>
          <cell r="D57">
            <v>4</v>
          </cell>
          <cell r="E57">
            <v>2</v>
          </cell>
          <cell r="F57">
            <v>5</v>
          </cell>
          <cell r="G57">
            <v>5</v>
          </cell>
          <cell r="H57">
            <v>7</v>
          </cell>
          <cell r="I57"/>
          <cell r="J57">
            <v>2</v>
          </cell>
          <cell r="K57">
            <v>5</v>
          </cell>
          <cell r="L57">
            <v>5</v>
          </cell>
          <cell r="M57">
            <v>2</v>
          </cell>
          <cell r="N57">
            <v>2</v>
          </cell>
          <cell r="O57">
            <v>4</v>
          </cell>
          <cell r="P57">
            <v>7.8120000000000003</v>
          </cell>
          <cell r="Q57">
            <v>10</v>
          </cell>
          <cell r="R57">
            <v>10</v>
          </cell>
          <cell r="S57">
            <v>6</v>
          </cell>
          <cell r="T57">
            <v>10</v>
          </cell>
          <cell r="U57">
            <v>13.562999999999999</v>
          </cell>
          <cell r="V57">
            <v>2.6775000000000002</v>
          </cell>
          <cell r="W57">
            <v>37.204999999999998</v>
          </cell>
          <cell r="X57">
            <v>27.405000000000001</v>
          </cell>
          <cell r="Y57">
            <v>8</v>
          </cell>
          <cell r="Z57"/>
          <cell r="AA57">
            <v>3</v>
          </cell>
          <cell r="AB57">
            <v>2</v>
          </cell>
          <cell r="AC57">
            <v>2</v>
          </cell>
          <cell r="AD57">
            <v>11</v>
          </cell>
          <cell r="AE57">
            <v>3</v>
          </cell>
          <cell r="AF57">
            <v>3</v>
          </cell>
          <cell r="AG57">
            <v>3</v>
          </cell>
          <cell r="AH57">
            <v>2</v>
          </cell>
          <cell r="AI57">
            <v>46.962000000000003</v>
          </cell>
          <cell r="AJ57">
            <v>1</v>
          </cell>
          <cell r="AK57">
            <v>1</v>
          </cell>
          <cell r="AL57">
            <v>27.38</v>
          </cell>
          <cell r="AM57">
            <v>128.92000000000002</v>
          </cell>
          <cell r="AN57">
            <v>92.73</v>
          </cell>
          <cell r="AO57"/>
          <cell r="AP57"/>
          <cell r="AQ57">
            <v>372.53000000000003</v>
          </cell>
          <cell r="AR57"/>
          <cell r="AS57"/>
          <cell r="AT57">
            <v>8.6875</v>
          </cell>
          <cell r="AU57"/>
          <cell r="AV57"/>
          <cell r="AW57"/>
          <cell r="AX57">
            <v>43.001999999999995</v>
          </cell>
        </row>
      </sheetData>
      <sheetData sheetId="35">
        <row r="11">
          <cell r="B11">
            <v>133.20000000000002</v>
          </cell>
          <cell r="C11"/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emória"/>
      <sheetName val="Alv15"/>
      <sheetName val="Alv20"/>
      <sheetName val="Encun"/>
      <sheetName val="Ver_Jan"/>
      <sheetName val="Con_Ver"/>
      <sheetName val="Ver_Por"/>
      <sheetName val="Cob"/>
      <sheetName val="Chap_Par"/>
      <sheetName val="Reb_Par"/>
      <sheetName val="Embç_Par"/>
      <sheetName val="Cerâm_Par"/>
      <sheetName val="Selad_Par"/>
      <sheetName val="Emass_Par"/>
      <sheetName val="Pint_Epox_Par"/>
      <sheetName val="Pint_Epox_Demarc"/>
      <sheetName val="Pint_Acr_Par"/>
      <sheetName val="Chap_Tet"/>
      <sheetName val="Reb_Tet"/>
      <sheetName val="Emass_Tet"/>
      <sheetName val="Pint_Tet"/>
      <sheetName val="For_Ges"/>
      <sheetName val="Emass_For_Ges"/>
      <sheetName val="Pint_For_Ges"/>
      <sheetName val="Pis_Porce"/>
      <sheetName val="Pis_Cer"/>
      <sheetName val="Pis_Conc_Poli"/>
      <sheetName val="Pis_Grani"/>
      <sheetName val="Con_Pis"/>
      <sheetName val="Piso_Borracha"/>
      <sheetName val="Passeio"/>
      <sheetName val="Soleira"/>
      <sheetName val="Rodape"/>
      <sheetName val="Esquad"/>
      <sheetName val="Diver"/>
      <sheetName val="Rev_Cer_Fachada"/>
    </sheetNames>
    <sheetDataSet>
      <sheetData sheetId="0"/>
      <sheetData sheetId="1">
        <row r="84">
          <cell r="B84">
            <v>1215.6879999999999</v>
          </cell>
          <cell r="C84"/>
        </row>
      </sheetData>
      <sheetData sheetId="2">
        <row r="34">
          <cell r="B34">
            <v>561.22450000000003</v>
          </cell>
          <cell r="C34"/>
        </row>
      </sheetData>
      <sheetData sheetId="3">
        <row r="103">
          <cell r="B103">
            <v>599.15999999999974</v>
          </cell>
          <cell r="C103"/>
        </row>
      </sheetData>
      <sheetData sheetId="4">
        <row r="36">
          <cell r="B36">
            <v>2.7847349999999995</v>
          </cell>
          <cell r="C36"/>
        </row>
      </sheetData>
      <sheetData sheetId="5">
        <row r="36">
          <cell r="B36">
            <v>2.7847349999999995</v>
          </cell>
          <cell r="C36"/>
        </row>
      </sheetData>
      <sheetData sheetId="6">
        <row r="49">
          <cell r="B49">
            <v>2.2035630000000008</v>
          </cell>
          <cell r="C49"/>
        </row>
      </sheetData>
      <sheetData sheetId="7">
        <row r="3">
          <cell r="B3">
            <v>0</v>
          </cell>
        </row>
        <row r="4">
          <cell r="C4">
            <v>0</v>
          </cell>
        </row>
        <row r="5">
          <cell r="C5">
            <v>0</v>
          </cell>
        </row>
        <row r="6">
          <cell r="B6">
            <v>34.43</v>
          </cell>
        </row>
        <row r="7">
          <cell r="B7">
            <v>34.43</v>
          </cell>
        </row>
        <row r="8">
          <cell r="C8">
            <v>0</v>
          </cell>
        </row>
      </sheetData>
      <sheetData sheetId="8">
        <row r="68">
          <cell r="B68">
            <v>3552.8865000000005</v>
          </cell>
          <cell r="C68"/>
        </row>
      </sheetData>
      <sheetData sheetId="9">
        <row r="51">
          <cell r="B51">
            <v>2935.4554999999991</v>
          </cell>
          <cell r="C51"/>
        </row>
        <row r="61">
          <cell r="B61">
            <v>47.139999999999993</v>
          </cell>
          <cell r="C61"/>
        </row>
      </sheetData>
      <sheetData sheetId="10">
        <row r="24">
          <cell r="B24">
            <v>570.29099999999994</v>
          </cell>
          <cell r="C24"/>
        </row>
      </sheetData>
      <sheetData sheetId="11">
        <row r="23">
          <cell r="B23">
            <v>472.41599999999994</v>
          </cell>
          <cell r="C23"/>
        </row>
      </sheetData>
      <sheetData sheetId="12">
        <row r="11">
          <cell r="B11">
            <v>425.47</v>
          </cell>
          <cell r="C11"/>
        </row>
      </sheetData>
      <sheetData sheetId="13">
        <row r="41">
          <cell r="B41">
            <v>2366.6884999999993</v>
          </cell>
          <cell r="C41"/>
        </row>
      </sheetData>
      <sheetData sheetId="14">
        <row r="36">
          <cell r="B36">
            <v>681.64599999999996</v>
          </cell>
          <cell r="C36"/>
        </row>
      </sheetData>
      <sheetData sheetId="15">
        <row r="6">
          <cell r="B6">
            <v>0</v>
          </cell>
          <cell r="C6"/>
        </row>
      </sheetData>
      <sheetData sheetId="16">
        <row r="55">
          <cell r="B55">
            <v>2110.5124999999998</v>
          </cell>
          <cell r="C55"/>
        </row>
      </sheetData>
      <sheetData sheetId="17">
        <row r="11">
          <cell r="B11">
            <v>153.80199999999999</v>
          </cell>
          <cell r="C11"/>
        </row>
      </sheetData>
      <sheetData sheetId="18">
        <row r="11">
          <cell r="B11">
            <v>153.80199999999999</v>
          </cell>
          <cell r="C11"/>
        </row>
      </sheetData>
      <sheetData sheetId="19">
        <row r="11">
          <cell r="B11">
            <v>153.80199999999999</v>
          </cell>
          <cell r="C11"/>
        </row>
      </sheetData>
      <sheetData sheetId="20">
        <row r="11">
          <cell r="B11">
            <v>153.80199999999999</v>
          </cell>
          <cell r="C11"/>
        </row>
      </sheetData>
      <sheetData sheetId="21">
        <row r="52">
          <cell r="B52">
            <v>957.15299999999991</v>
          </cell>
          <cell r="C52"/>
        </row>
      </sheetData>
      <sheetData sheetId="22">
        <row r="52">
          <cell r="B52">
            <v>957.15299999999991</v>
          </cell>
          <cell r="C52"/>
        </row>
      </sheetData>
      <sheetData sheetId="23">
        <row r="52">
          <cell r="B52">
            <v>957.15299999999991</v>
          </cell>
          <cell r="C52"/>
        </row>
      </sheetData>
      <sheetData sheetId="24">
        <row r="35">
          <cell r="B35">
            <v>819.45800000000008</v>
          </cell>
          <cell r="C35"/>
        </row>
      </sheetData>
      <sheetData sheetId="25">
        <row r="21">
          <cell r="B21">
            <v>137.69499999999999</v>
          </cell>
          <cell r="C21"/>
        </row>
      </sheetData>
      <sheetData sheetId="26">
        <row r="7">
          <cell r="B7">
            <v>135.00200000000001</v>
          </cell>
          <cell r="C7"/>
        </row>
      </sheetData>
      <sheetData sheetId="27">
        <row r="7">
          <cell r="B7">
            <v>120.13900000000001</v>
          </cell>
          <cell r="C7"/>
        </row>
        <row r="15">
          <cell r="B15">
            <v>85.704000000000008</v>
          </cell>
        </row>
        <row r="24">
          <cell r="B24">
            <v>92.4</v>
          </cell>
        </row>
      </sheetData>
      <sheetData sheetId="28">
        <row r="57">
          <cell r="B57">
            <v>1246.8160000000003</v>
          </cell>
          <cell r="C57"/>
        </row>
      </sheetData>
      <sheetData sheetId="29">
        <row r="6">
          <cell r="B6">
            <v>83.82</v>
          </cell>
          <cell r="C6"/>
        </row>
      </sheetData>
      <sheetData sheetId="30">
        <row r="8">
          <cell r="B8">
            <v>0</v>
          </cell>
        </row>
      </sheetData>
      <sheetData sheetId="31">
        <row r="28">
          <cell r="B28">
            <v>38.29</v>
          </cell>
        </row>
      </sheetData>
      <sheetData sheetId="32">
        <row r="36">
          <cell r="B36">
            <v>560.08000000000004</v>
          </cell>
          <cell r="C36"/>
        </row>
        <row r="47">
          <cell r="B47">
            <v>57.339999999999996</v>
          </cell>
        </row>
        <row r="57">
          <cell r="B57">
            <v>52.75</v>
          </cell>
        </row>
      </sheetData>
      <sheetData sheetId="33">
        <row r="55">
          <cell r="B55"/>
          <cell r="C55">
            <v>1</v>
          </cell>
          <cell r="D55">
            <v>7</v>
          </cell>
          <cell r="E55">
            <v>1</v>
          </cell>
          <cell r="F55">
            <v>1</v>
          </cell>
          <cell r="G55">
            <v>1</v>
          </cell>
          <cell r="H55">
            <v>1</v>
          </cell>
          <cell r="I55">
            <v>1</v>
          </cell>
          <cell r="J55">
            <v>1</v>
          </cell>
          <cell r="K55">
            <v>1</v>
          </cell>
          <cell r="L55">
            <v>1</v>
          </cell>
          <cell r="M55"/>
          <cell r="N55">
            <v>2</v>
          </cell>
          <cell r="O55">
            <v>1</v>
          </cell>
          <cell r="P55">
            <v>1</v>
          </cell>
          <cell r="Q55">
            <v>1</v>
          </cell>
          <cell r="R55"/>
          <cell r="S55">
            <v>2</v>
          </cell>
          <cell r="T55"/>
          <cell r="V55">
            <v>1</v>
          </cell>
          <cell r="W55">
            <v>1</v>
          </cell>
          <cell r="X55">
            <v>6</v>
          </cell>
          <cell r="Y55">
            <v>14</v>
          </cell>
          <cell r="Z55"/>
          <cell r="AA55">
            <v>7</v>
          </cell>
          <cell r="AB55"/>
          <cell r="AC55"/>
          <cell r="AD55"/>
          <cell r="AE55"/>
          <cell r="AF55">
            <v>10</v>
          </cell>
          <cell r="AG55">
            <v>1</v>
          </cell>
          <cell r="AH55">
            <v>1</v>
          </cell>
          <cell r="AI55"/>
          <cell r="AJ55"/>
          <cell r="AK55">
            <v>7</v>
          </cell>
          <cell r="AL55">
            <v>2</v>
          </cell>
          <cell r="AM55">
            <v>1</v>
          </cell>
          <cell r="AN55">
            <v>12</v>
          </cell>
          <cell r="AO55"/>
          <cell r="AP55">
            <v>1</v>
          </cell>
          <cell r="AQ55"/>
          <cell r="AR55"/>
        </row>
      </sheetData>
      <sheetData sheetId="34">
        <row r="57">
          <cell r="B57">
            <v>7</v>
          </cell>
          <cell r="C57">
            <v>7</v>
          </cell>
          <cell r="D57">
            <v>14</v>
          </cell>
          <cell r="E57">
            <v>7</v>
          </cell>
          <cell r="F57">
            <v>10</v>
          </cell>
          <cell r="G57">
            <v>10</v>
          </cell>
          <cell r="H57">
            <v>9</v>
          </cell>
          <cell r="I57">
            <v>8</v>
          </cell>
          <cell r="J57">
            <v>7</v>
          </cell>
          <cell r="K57">
            <v>3</v>
          </cell>
          <cell r="L57">
            <v>3</v>
          </cell>
          <cell r="M57">
            <v>2</v>
          </cell>
          <cell r="N57">
            <v>2</v>
          </cell>
          <cell r="O57">
            <v>4</v>
          </cell>
          <cell r="P57">
            <v>11.132999999999999</v>
          </cell>
          <cell r="Q57">
            <v>37</v>
          </cell>
          <cell r="R57">
            <v>37</v>
          </cell>
          <cell r="S57">
            <v>37</v>
          </cell>
          <cell r="T57">
            <v>18</v>
          </cell>
          <cell r="U57">
            <v>22.852500000000003</v>
          </cell>
          <cell r="V57">
            <v>8.3500000000000014</v>
          </cell>
          <cell r="W57">
            <v>68.795000000000002</v>
          </cell>
          <cell r="X57">
            <v>54.695</v>
          </cell>
          <cell r="Y57">
            <v>13</v>
          </cell>
          <cell r="Z57"/>
          <cell r="AA57">
            <v>21</v>
          </cell>
          <cell r="AB57">
            <v>7</v>
          </cell>
          <cell r="AC57">
            <v>7</v>
          </cell>
          <cell r="AD57">
            <v>34</v>
          </cell>
          <cell r="AE57">
            <v>13</v>
          </cell>
          <cell r="AF57">
            <v>13</v>
          </cell>
          <cell r="AG57">
            <v>2</v>
          </cell>
          <cell r="AH57">
            <v>5</v>
          </cell>
          <cell r="AI57">
            <v>24.246000000000002</v>
          </cell>
          <cell r="AJ57">
            <v>1</v>
          </cell>
          <cell r="AK57">
            <v>1</v>
          </cell>
          <cell r="AL57">
            <v>95.41</v>
          </cell>
          <cell r="AM57">
            <v>224.06000000000003</v>
          </cell>
          <cell r="AN57">
            <v>146.09</v>
          </cell>
          <cell r="AO57"/>
          <cell r="AP57"/>
          <cell r="AQ57">
            <v>48.93</v>
          </cell>
          <cell r="AR57">
            <v>2</v>
          </cell>
          <cell r="AS57">
            <v>2</v>
          </cell>
          <cell r="AT57">
            <v>21.490000000000002</v>
          </cell>
          <cell r="AU57">
            <v>6.46</v>
          </cell>
          <cell r="AV57">
            <v>30.26</v>
          </cell>
          <cell r="AW57"/>
          <cell r="AX57"/>
        </row>
      </sheetData>
      <sheetData sheetId="35">
        <row r="11">
          <cell r="B11">
            <v>97.875000000000014</v>
          </cell>
          <cell r="C11"/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emória"/>
      <sheetName val="Alv15"/>
      <sheetName val="Alv20"/>
      <sheetName val="Encun"/>
      <sheetName val="Ver_Jan"/>
      <sheetName val="Con_Ver"/>
      <sheetName val="Ver_Por"/>
      <sheetName val="Cob"/>
      <sheetName val="Chap_Par"/>
      <sheetName val="Reb_Par"/>
      <sheetName val="Embç_Par"/>
      <sheetName val="Cerâm_Par"/>
      <sheetName val="Selad_Par"/>
      <sheetName val="Emass_Par"/>
      <sheetName val="Pint_Epox_Par"/>
      <sheetName val="Pint_Epox_Demarc"/>
      <sheetName val="Pint_Acr_Par"/>
      <sheetName val="Chap_Tet"/>
      <sheetName val="Reb_Tet"/>
      <sheetName val="Emass_Tet"/>
      <sheetName val="Pint_Tet"/>
      <sheetName val="For_Ges"/>
      <sheetName val="Emass_For_Ges"/>
      <sheetName val="Pint_For_Ges"/>
      <sheetName val="Pis_Porce"/>
      <sheetName val="Pis_Cer"/>
      <sheetName val="Pis_Conc_Poli"/>
      <sheetName val="Pis_Grani"/>
      <sheetName val="Con_Pis"/>
      <sheetName val="Piso_Borracha"/>
      <sheetName val="Passeio"/>
      <sheetName val="Soleira"/>
      <sheetName val="Rodape"/>
      <sheetName val="Esquad"/>
      <sheetName val="Diver"/>
      <sheetName val="Rev_Cer_Fachada"/>
    </sheetNames>
    <sheetDataSet>
      <sheetData sheetId="0"/>
      <sheetData sheetId="1">
        <row r="84">
          <cell r="B84">
            <v>854.89</v>
          </cell>
          <cell r="C84"/>
        </row>
      </sheetData>
      <sheetData sheetId="2">
        <row r="34">
          <cell r="B34">
            <v>604.2410000000001</v>
          </cell>
          <cell r="C34"/>
        </row>
      </sheetData>
      <sheetData sheetId="3">
        <row r="103">
          <cell r="B103">
            <v>500.565</v>
          </cell>
          <cell r="C103"/>
        </row>
      </sheetData>
      <sheetData sheetId="4">
        <row r="36">
          <cell r="B36">
            <v>2.5037250000000002</v>
          </cell>
          <cell r="C36"/>
        </row>
      </sheetData>
      <sheetData sheetId="5">
        <row r="36">
          <cell r="B36">
            <v>2.5037250000000002</v>
          </cell>
          <cell r="C36"/>
        </row>
      </sheetData>
      <sheetData sheetId="6">
        <row r="49">
          <cell r="B49">
            <v>1.531191</v>
          </cell>
          <cell r="C49"/>
        </row>
      </sheetData>
      <sheetData sheetId="7">
        <row r="3">
          <cell r="B3">
            <v>0</v>
          </cell>
        </row>
        <row r="4">
          <cell r="C4">
            <v>0</v>
          </cell>
        </row>
        <row r="5">
          <cell r="C5">
            <v>0</v>
          </cell>
        </row>
        <row r="6">
          <cell r="B6">
            <v>0</v>
          </cell>
        </row>
        <row r="7">
          <cell r="B7">
            <v>0</v>
          </cell>
        </row>
        <row r="8">
          <cell r="C8">
            <v>0</v>
          </cell>
        </row>
      </sheetData>
      <sheetData sheetId="8">
        <row r="68">
          <cell r="B68">
            <v>2889.9764999999998</v>
          </cell>
          <cell r="C68"/>
        </row>
      </sheetData>
      <sheetData sheetId="9">
        <row r="51">
          <cell r="B51">
            <v>2289.3824999999997</v>
          </cell>
          <cell r="C51"/>
        </row>
        <row r="61">
          <cell r="B61">
            <v>0</v>
          </cell>
          <cell r="C61"/>
        </row>
      </sheetData>
      <sheetData sheetId="10">
        <row r="24">
          <cell r="B24">
            <v>600.59399999999994</v>
          </cell>
          <cell r="C24"/>
        </row>
      </sheetData>
      <sheetData sheetId="11">
        <row r="23">
          <cell r="B23">
            <v>502.71899999999994</v>
          </cell>
          <cell r="C23"/>
        </row>
      </sheetData>
      <sheetData sheetId="12">
        <row r="11">
          <cell r="B11">
            <v>411.88249999999994</v>
          </cell>
          <cell r="C11"/>
        </row>
      </sheetData>
      <sheetData sheetId="13">
        <row r="41">
          <cell r="B41">
            <v>1713.923</v>
          </cell>
          <cell r="C41"/>
        </row>
      </sheetData>
      <sheetData sheetId="14">
        <row r="36">
          <cell r="B36">
            <v>596.75900000000001</v>
          </cell>
          <cell r="C36"/>
        </row>
      </sheetData>
      <sheetData sheetId="15">
        <row r="6">
          <cell r="B6">
            <v>0</v>
          </cell>
          <cell r="C6"/>
        </row>
      </sheetData>
      <sheetData sheetId="16">
        <row r="55">
          <cell r="B55">
            <v>1529.0464999999999</v>
          </cell>
          <cell r="C55"/>
        </row>
      </sheetData>
      <sheetData sheetId="17">
        <row r="11">
          <cell r="B11">
            <v>183.94</v>
          </cell>
          <cell r="C11"/>
        </row>
      </sheetData>
      <sheetData sheetId="18">
        <row r="11">
          <cell r="B11">
            <v>183.94</v>
          </cell>
          <cell r="C11"/>
        </row>
      </sheetData>
      <sheetData sheetId="19">
        <row r="11">
          <cell r="B11">
            <v>183.94</v>
          </cell>
          <cell r="C11"/>
        </row>
      </sheetData>
      <sheetData sheetId="20">
        <row r="11">
          <cell r="B11">
            <v>183.94</v>
          </cell>
          <cell r="C11"/>
        </row>
      </sheetData>
      <sheetData sheetId="21">
        <row r="52">
          <cell r="B52">
            <v>993.91800000000001</v>
          </cell>
          <cell r="C52"/>
        </row>
      </sheetData>
      <sheetData sheetId="22">
        <row r="52">
          <cell r="B52">
            <v>993.91800000000001</v>
          </cell>
          <cell r="C52"/>
        </row>
      </sheetData>
      <sheetData sheetId="23">
        <row r="52">
          <cell r="B52">
            <v>993.91800000000001</v>
          </cell>
          <cell r="C52"/>
        </row>
      </sheetData>
      <sheetData sheetId="24">
        <row r="35">
          <cell r="B35">
            <v>912.86699999999996</v>
          </cell>
          <cell r="C35"/>
        </row>
      </sheetData>
      <sheetData sheetId="25">
        <row r="21">
          <cell r="B21">
            <v>81.051000000000016</v>
          </cell>
          <cell r="C21"/>
        </row>
      </sheetData>
      <sheetData sheetId="26">
        <row r="7">
          <cell r="B7">
            <v>0</v>
          </cell>
          <cell r="C7"/>
        </row>
      </sheetData>
      <sheetData sheetId="27">
        <row r="7">
          <cell r="B7">
            <v>88.812000000000012</v>
          </cell>
          <cell r="C7"/>
        </row>
        <row r="15">
          <cell r="B15">
            <v>0</v>
          </cell>
        </row>
        <row r="24">
          <cell r="B24">
            <v>92.4</v>
          </cell>
        </row>
      </sheetData>
      <sheetData sheetId="28">
        <row r="57">
          <cell r="B57">
            <v>1249.4874999999997</v>
          </cell>
          <cell r="C57"/>
        </row>
      </sheetData>
      <sheetData sheetId="29">
        <row r="6">
          <cell r="B6">
            <v>112.42</v>
          </cell>
          <cell r="C6"/>
        </row>
      </sheetData>
      <sheetData sheetId="30">
        <row r="8">
          <cell r="B8">
            <v>0</v>
          </cell>
        </row>
      </sheetData>
      <sheetData sheetId="31">
        <row r="28">
          <cell r="B28">
            <v>24.39</v>
          </cell>
        </row>
      </sheetData>
      <sheetData sheetId="32">
        <row r="36">
          <cell r="B36">
            <v>435.01</v>
          </cell>
          <cell r="C36"/>
        </row>
        <row r="47">
          <cell r="B47">
            <v>0</v>
          </cell>
        </row>
        <row r="57">
          <cell r="B57">
            <v>54.05</v>
          </cell>
        </row>
      </sheetData>
      <sheetData sheetId="33">
        <row r="55">
          <cell r="B55">
            <v>1</v>
          </cell>
          <cell r="C55"/>
          <cell r="D55">
            <v>7</v>
          </cell>
          <cell r="E55">
            <v>3</v>
          </cell>
          <cell r="F55">
            <v>1</v>
          </cell>
          <cell r="G55">
            <v>1</v>
          </cell>
          <cell r="H55">
            <v>1</v>
          </cell>
          <cell r="I55"/>
          <cell r="J55">
            <v>1</v>
          </cell>
          <cell r="K55">
            <v>1</v>
          </cell>
          <cell r="L55">
            <v>1</v>
          </cell>
          <cell r="M55"/>
          <cell r="N55"/>
          <cell r="O55"/>
          <cell r="P55"/>
          <cell r="Q55">
            <v>3</v>
          </cell>
          <cell r="R55"/>
          <cell r="S55">
            <v>2</v>
          </cell>
          <cell r="T55"/>
          <cell r="V55"/>
          <cell r="W55"/>
          <cell r="X55">
            <v>7</v>
          </cell>
          <cell r="Y55">
            <v>6</v>
          </cell>
          <cell r="Z55"/>
          <cell r="AA55">
            <v>12</v>
          </cell>
          <cell r="AB55"/>
          <cell r="AC55"/>
          <cell r="AD55"/>
          <cell r="AE55"/>
          <cell r="AF55">
            <v>5</v>
          </cell>
          <cell r="AG55"/>
          <cell r="AH55"/>
          <cell r="AI55">
            <v>2</v>
          </cell>
          <cell r="AJ55">
            <v>2</v>
          </cell>
          <cell r="AK55"/>
          <cell r="AL55"/>
          <cell r="AM55"/>
          <cell r="AN55">
            <v>1</v>
          </cell>
          <cell r="AO55"/>
          <cell r="AP55"/>
          <cell r="AQ55">
            <v>1</v>
          </cell>
          <cell r="AR55"/>
        </row>
      </sheetData>
      <sheetData sheetId="34">
        <row r="57">
          <cell r="B57">
            <v>12</v>
          </cell>
          <cell r="C57">
            <v>12</v>
          </cell>
          <cell r="D57">
            <v>24</v>
          </cell>
          <cell r="E57">
            <v>12</v>
          </cell>
          <cell r="F57"/>
          <cell r="G57"/>
          <cell r="H57">
            <v>12</v>
          </cell>
          <cell r="I57"/>
          <cell r="J57">
            <v>12</v>
          </cell>
          <cell r="K57">
            <v>12</v>
          </cell>
          <cell r="L57">
            <v>12</v>
          </cell>
          <cell r="M57">
            <v>12</v>
          </cell>
          <cell r="N57">
            <v>12</v>
          </cell>
          <cell r="O57">
            <v>24</v>
          </cell>
          <cell r="P57">
            <v>6.48</v>
          </cell>
          <cell r="Q57">
            <v>28</v>
          </cell>
          <cell r="R57">
            <v>28</v>
          </cell>
          <cell r="S57">
            <v>28</v>
          </cell>
          <cell r="T57">
            <v>12</v>
          </cell>
          <cell r="U57">
            <v>13.494</v>
          </cell>
          <cell r="V57">
            <v>13.745000000000001</v>
          </cell>
          <cell r="W57">
            <v>84.619999999999976</v>
          </cell>
          <cell r="X57">
            <v>32.69</v>
          </cell>
          <cell r="Y57">
            <v>6</v>
          </cell>
          <cell r="Z57"/>
          <cell r="AA57">
            <v>20</v>
          </cell>
          <cell r="AB57">
            <v>12</v>
          </cell>
          <cell r="AC57">
            <v>12</v>
          </cell>
          <cell r="AD57">
            <v>26</v>
          </cell>
          <cell r="AE57">
            <v>8</v>
          </cell>
          <cell r="AF57">
            <v>8</v>
          </cell>
          <cell r="AG57">
            <v>1</v>
          </cell>
          <cell r="AH57">
            <v>12</v>
          </cell>
          <cell r="AI57"/>
          <cell r="AJ57">
            <v>1</v>
          </cell>
          <cell r="AK57">
            <v>1</v>
          </cell>
          <cell r="AL57">
            <v>102.03999999999999</v>
          </cell>
          <cell r="AM57">
            <v>142.48000000000002</v>
          </cell>
          <cell r="AN57">
            <v>74.78</v>
          </cell>
          <cell r="AO57"/>
          <cell r="AP57"/>
          <cell r="AQ57"/>
          <cell r="AR57"/>
          <cell r="AS57"/>
          <cell r="AT57">
            <v>19.375000000000004</v>
          </cell>
          <cell r="AU57">
            <v>6.46</v>
          </cell>
          <cell r="AV57"/>
          <cell r="AW57">
            <v>38.478000000000009</v>
          </cell>
          <cell r="AX57"/>
        </row>
      </sheetData>
      <sheetData sheetId="35">
        <row r="11">
          <cell r="B11">
            <v>97.875000000000014</v>
          </cell>
          <cell r="C11"/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emória"/>
      <sheetName val="Alv15"/>
      <sheetName val="Alv20"/>
      <sheetName val="Encun"/>
      <sheetName val="Ver_Jan"/>
      <sheetName val="Con_Ver"/>
      <sheetName val="Ver_Por"/>
      <sheetName val="Cob"/>
      <sheetName val="Chap_Par"/>
      <sheetName val="Reb_Par"/>
      <sheetName val="Embç_Par"/>
      <sheetName val="Cerâm_Par"/>
      <sheetName val="Selad_Par"/>
      <sheetName val="Emass_Par"/>
      <sheetName val="Pint_Epox_Par"/>
      <sheetName val="Pint_Epox_Demarc"/>
      <sheetName val="Pint_Acr_Par"/>
      <sheetName val="Chap_Tet"/>
      <sheetName val="Reb_Tet"/>
      <sheetName val="Emass_Tet"/>
      <sheetName val="Pint_Tet"/>
      <sheetName val="For_Ges"/>
      <sheetName val="Emass_For_Ges"/>
      <sheetName val="Pint_For_Ges"/>
      <sheetName val="Pis_Porce"/>
      <sheetName val="Pis_Cer"/>
      <sheetName val="Pis_Conc_Poli"/>
      <sheetName val="Pis_Grani"/>
      <sheetName val="Con_Pis"/>
      <sheetName val="Piso_Borracha"/>
      <sheetName val="Passeio"/>
      <sheetName val="Soleira"/>
      <sheetName val="Rodape"/>
      <sheetName val="Esquad"/>
      <sheetName val="Diver"/>
      <sheetName val="Rev_Cer_Fachada"/>
    </sheetNames>
    <sheetDataSet>
      <sheetData sheetId="0"/>
      <sheetData sheetId="1">
        <row r="84">
          <cell r="B84">
            <v>224.94000000000005</v>
          </cell>
          <cell r="C84"/>
        </row>
      </sheetData>
      <sheetData sheetId="2">
        <row r="34">
          <cell r="B34">
            <v>663.45100000000002</v>
          </cell>
          <cell r="C34"/>
        </row>
      </sheetData>
      <sheetData sheetId="3">
        <row r="103">
          <cell r="B103">
            <v>292.39999999999998</v>
          </cell>
          <cell r="C103"/>
        </row>
      </sheetData>
      <sheetData sheetId="4">
        <row r="36">
          <cell r="B36">
            <v>2.1774</v>
          </cell>
          <cell r="C36"/>
        </row>
      </sheetData>
      <sheetData sheetId="5">
        <row r="36">
          <cell r="B36">
            <v>2.1774</v>
          </cell>
          <cell r="C36"/>
        </row>
      </sheetData>
      <sheetData sheetId="6">
        <row r="49">
          <cell r="B49">
            <v>0.5323230000000001</v>
          </cell>
          <cell r="C49"/>
        </row>
      </sheetData>
      <sheetData sheetId="7">
        <row r="3">
          <cell r="B3">
            <v>0</v>
          </cell>
        </row>
        <row r="4">
          <cell r="C4">
            <v>0</v>
          </cell>
        </row>
        <row r="5">
          <cell r="C5">
            <v>0</v>
          </cell>
        </row>
        <row r="6">
          <cell r="B6">
            <v>0</v>
          </cell>
        </row>
        <row r="7">
          <cell r="B7">
            <v>0</v>
          </cell>
        </row>
        <row r="8">
          <cell r="C8">
            <v>0</v>
          </cell>
        </row>
      </sheetData>
      <sheetData sheetId="8">
        <row r="68">
          <cell r="B68">
            <v>1819.8290000000002</v>
          </cell>
          <cell r="C68"/>
        </row>
      </sheetData>
      <sheetData sheetId="9">
        <row r="51">
          <cell r="B51">
            <v>1656.9739999999997</v>
          </cell>
          <cell r="C51"/>
        </row>
        <row r="61">
          <cell r="B61">
            <v>0</v>
          </cell>
          <cell r="C61"/>
        </row>
      </sheetData>
      <sheetData sheetId="10">
        <row r="24">
          <cell r="B24">
            <v>162.85499999999996</v>
          </cell>
          <cell r="C24"/>
        </row>
      </sheetData>
      <sheetData sheetId="11">
        <row r="23">
          <cell r="B23">
            <v>64.97999999999999</v>
          </cell>
          <cell r="C23"/>
        </row>
      </sheetData>
      <sheetData sheetId="12">
        <row r="11">
          <cell r="B11">
            <v>465.65</v>
          </cell>
          <cell r="C11"/>
        </row>
      </sheetData>
      <sheetData sheetId="13">
        <row r="41">
          <cell r="B41">
            <v>353.36899999999997</v>
          </cell>
          <cell r="C41"/>
        </row>
      </sheetData>
      <sheetData sheetId="14">
        <row r="36">
          <cell r="B36">
            <v>54.039999999999992</v>
          </cell>
          <cell r="C36"/>
        </row>
      </sheetData>
      <sheetData sheetId="15">
        <row r="6">
          <cell r="B6">
            <v>0</v>
          </cell>
          <cell r="C6"/>
        </row>
      </sheetData>
      <sheetData sheetId="16">
        <row r="55">
          <cell r="B55">
            <v>764.97900000000004</v>
          </cell>
          <cell r="C55"/>
        </row>
      </sheetData>
      <sheetData sheetId="17">
        <row r="11">
          <cell r="B11">
            <v>183.94</v>
          </cell>
          <cell r="C11"/>
        </row>
      </sheetData>
      <sheetData sheetId="18">
        <row r="11">
          <cell r="B11">
            <v>183.94</v>
          </cell>
          <cell r="C11"/>
        </row>
      </sheetData>
      <sheetData sheetId="19">
        <row r="11">
          <cell r="B11">
            <v>183.94</v>
          </cell>
          <cell r="C11"/>
        </row>
      </sheetData>
      <sheetData sheetId="20">
        <row r="11">
          <cell r="B11">
            <v>183.94</v>
          </cell>
          <cell r="C11"/>
        </row>
      </sheetData>
      <sheetData sheetId="21">
        <row r="52">
          <cell r="B52">
            <v>42.83</v>
          </cell>
          <cell r="C52"/>
        </row>
      </sheetData>
      <sheetData sheetId="22">
        <row r="52">
          <cell r="B52">
            <v>42.83</v>
          </cell>
          <cell r="C52"/>
        </row>
      </sheetData>
      <sheetData sheetId="23">
        <row r="52">
          <cell r="B52">
            <v>42.83</v>
          </cell>
          <cell r="C52"/>
        </row>
      </sheetData>
      <sheetData sheetId="24">
        <row r="35">
          <cell r="B35">
            <v>29.43</v>
          </cell>
          <cell r="C35"/>
        </row>
      </sheetData>
      <sheetData sheetId="25">
        <row r="21">
          <cell r="B21">
            <v>13.4</v>
          </cell>
          <cell r="C21"/>
        </row>
      </sheetData>
      <sheetData sheetId="26">
        <row r="7">
          <cell r="B7">
            <v>0</v>
          </cell>
          <cell r="C7"/>
        </row>
      </sheetData>
      <sheetData sheetId="27">
        <row r="7">
          <cell r="B7">
            <v>88.812000000000012</v>
          </cell>
          <cell r="C7"/>
        </row>
        <row r="15">
          <cell r="B15">
            <v>0</v>
          </cell>
        </row>
        <row r="24">
          <cell r="B24">
            <v>92.4</v>
          </cell>
        </row>
      </sheetData>
      <sheetData sheetId="28">
        <row r="57">
          <cell r="B57">
            <v>1283.2520000000002</v>
          </cell>
          <cell r="C57"/>
        </row>
      </sheetData>
      <sheetData sheetId="29">
        <row r="6">
          <cell r="B6">
            <v>112.42</v>
          </cell>
          <cell r="C6"/>
        </row>
      </sheetData>
      <sheetData sheetId="30">
        <row r="8">
          <cell r="B8">
            <v>0</v>
          </cell>
        </row>
      </sheetData>
      <sheetData sheetId="31">
        <row r="28">
          <cell r="B28">
            <v>13.489999999999998</v>
          </cell>
        </row>
      </sheetData>
      <sheetData sheetId="32">
        <row r="36">
          <cell r="B36">
            <v>18.14</v>
          </cell>
          <cell r="C36"/>
        </row>
        <row r="47">
          <cell r="B47">
            <v>0</v>
          </cell>
        </row>
        <row r="57">
          <cell r="B57">
            <v>54.85</v>
          </cell>
        </row>
      </sheetData>
      <sheetData sheetId="33">
        <row r="55">
          <cell r="B55"/>
          <cell r="C55"/>
          <cell r="D55">
            <v>7</v>
          </cell>
          <cell r="E55">
            <v>1</v>
          </cell>
          <cell r="F55">
            <v>1</v>
          </cell>
          <cell r="G55">
            <v>1</v>
          </cell>
          <cell r="H55">
            <v>1</v>
          </cell>
          <cell r="I55"/>
          <cell r="J55">
            <v>1</v>
          </cell>
          <cell r="K55">
            <v>1</v>
          </cell>
          <cell r="L55">
            <v>1</v>
          </cell>
          <cell r="M55"/>
          <cell r="N55"/>
          <cell r="O55"/>
          <cell r="P55"/>
          <cell r="Q55">
            <v>3</v>
          </cell>
          <cell r="R55"/>
          <cell r="S55">
            <v>2</v>
          </cell>
          <cell r="T55">
            <v>1</v>
          </cell>
          <cell r="V55"/>
          <cell r="W55"/>
          <cell r="X55">
            <v>3</v>
          </cell>
          <cell r="Y55"/>
          <cell r="Z55"/>
          <cell r="AA55">
            <v>2</v>
          </cell>
          <cell r="AB55"/>
          <cell r="AC55"/>
          <cell r="AD55"/>
          <cell r="AE55"/>
          <cell r="AF55"/>
          <cell r="AG55"/>
          <cell r="AH55"/>
          <cell r="AI55"/>
          <cell r="AJ55"/>
          <cell r="AK55"/>
          <cell r="AL55"/>
          <cell r="AM55"/>
          <cell r="AN55"/>
          <cell r="AO55"/>
          <cell r="AP55"/>
          <cell r="AQ55">
            <v>0</v>
          </cell>
          <cell r="AR55"/>
        </row>
      </sheetData>
      <sheetData sheetId="34">
        <row r="57">
          <cell r="B57">
            <v>2</v>
          </cell>
          <cell r="C57">
            <v>2</v>
          </cell>
          <cell r="D57">
            <v>4</v>
          </cell>
          <cell r="E57">
            <v>2</v>
          </cell>
          <cell r="F57"/>
          <cell r="G57"/>
          <cell r="H57">
            <v>2</v>
          </cell>
          <cell r="I57"/>
          <cell r="J57">
            <v>2</v>
          </cell>
          <cell r="K57">
            <v>2</v>
          </cell>
          <cell r="L57">
            <v>2</v>
          </cell>
          <cell r="M57">
            <v>2</v>
          </cell>
          <cell r="N57">
            <v>2</v>
          </cell>
          <cell r="O57">
            <v>4</v>
          </cell>
          <cell r="P57">
            <v>1.08</v>
          </cell>
          <cell r="Q57">
            <v>2</v>
          </cell>
          <cell r="R57">
            <v>2</v>
          </cell>
          <cell r="S57">
            <v>2</v>
          </cell>
          <cell r="T57">
            <v>2</v>
          </cell>
          <cell r="U57"/>
          <cell r="V57"/>
          <cell r="W57"/>
          <cell r="X57"/>
          <cell r="Y57"/>
          <cell r="Z57"/>
          <cell r="AA57">
            <v>2</v>
          </cell>
          <cell r="AB57">
            <v>2</v>
          </cell>
          <cell r="AC57">
            <v>2</v>
          </cell>
          <cell r="AD57">
            <v>2</v>
          </cell>
          <cell r="AE57"/>
          <cell r="AF57"/>
          <cell r="AG57"/>
          <cell r="AH57">
            <v>2</v>
          </cell>
          <cell r="AI57"/>
          <cell r="AJ57"/>
          <cell r="AK57"/>
          <cell r="AL57"/>
          <cell r="AM57">
            <v>142.48000000000002</v>
          </cell>
          <cell r="AN57">
            <v>74.78</v>
          </cell>
          <cell r="AO57"/>
          <cell r="AP57"/>
          <cell r="AQ57"/>
          <cell r="AR57"/>
          <cell r="AS57"/>
          <cell r="AT57">
            <v>17.162500000000001</v>
          </cell>
          <cell r="AU57">
            <v>6.46</v>
          </cell>
          <cell r="AV57"/>
          <cell r="AW57"/>
          <cell r="AX57"/>
        </row>
      </sheetData>
      <sheetData sheetId="35">
        <row r="11">
          <cell r="B11">
            <v>97.875000000000014</v>
          </cell>
          <cell r="C11"/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emória"/>
      <sheetName val="Alv15"/>
      <sheetName val="Alv20"/>
      <sheetName val="Encun"/>
      <sheetName val="Ver_Jan"/>
      <sheetName val="Con_Ver"/>
      <sheetName val="Ver_Por"/>
      <sheetName val="Cob"/>
      <sheetName val="Chap_Par"/>
      <sheetName val="Reb_Par"/>
      <sheetName val="Embç_Par"/>
      <sheetName val="Cerâm_Par"/>
      <sheetName val="Selad_Par"/>
      <sheetName val="Emass_Par"/>
      <sheetName val="Pint_Epox_Par"/>
      <sheetName val="Pint_Epox_Demarc"/>
      <sheetName val="Pint_Acr_Par"/>
      <sheetName val="Chap_Tet"/>
      <sheetName val="Reb_Tet"/>
      <sheetName val="Emass_Tet"/>
      <sheetName val="Pint_Tet"/>
      <sheetName val="For_Ges"/>
      <sheetName val="Emass_For_Ges"/>
      <sheetName val="Pint_For_Ges"/>
      <sheetName val="Pis_Porce"/>
      <sheetName val="Pis_Cer"/>
      <sheetName val="Pis_Conc_Poli"/>
      <sheetName val="Pis_Grani"/>
      <sheetName val="Con_Pis"/>
      <sheetName val="Piso_Borracha"/>
      <sheetName val="Passeio"/>
      <sheetName val="Soleira"/>
      <sheetName val="Rodape"/>
      <sheetName val="Esquad"/>
      <sheetName val="Diver"/>
      <sheetName val="Rev_Cer_Fachada"/>
    </sheetNames>
    <sheetDataSet>
      <sheetData sheetId="0"/>
      <sheetData sheetId="1">
        <row r="84">
          <cell r="B84">
            <v>260.80799999999999</v>
          </cell>
          <cell r="C84"/>
        </row>
      </sheetData>
      <sheetData sheetId="2">
        <row r="34">
          <cell r="B34">
            <v>663.45100000000002</v>
          </cell>
          <cell r="C34"/>
        </row>
      </sheetData>
      <sheetData sheetId="3">
        <row r="103">
          <cell r="B103">
            <v>302.27</v>
          </cell>
          <cell r="C103"/>
        </row>
      </sheetData>
      <sheetData sheetId="4">
        <row r="36">
          <cell r="B36">
            <v>2.1774</v>
          </cell>
          <cell r="C36"/>
        </row>
      </sheetData>
      <sheetData sheetId="5">
        <row r="36">
          <cell r="B36">
            <v>2.1774</v>
          </cell>
          <cell r="C36"/>
        </row>
      </sheetData>
      <sheetData sheetId="6">
        <row r="49">
          <cell r="B49">
            <v>0.507243</v>
          </cell>
          <cell r="C49"/>
        </row>
      </sheetData>
      <sheetData sheetId="7">
        <row r="3">
          <cell r="B3">
            <v>0</v>
          </cell>
        </row>
        <row r="4">
          <cell r="C4">
            <v>0</v>
          </cell>
        </row>
        <row r="5">
          <cell r="C5">
            <v>0</v>
          </cell>
        </row>
        <row r="6">
          <cell r="B6">
            <v>0</v>
          </cell>
        </row>
        <row r="7">
          <cell r="B7">
            <v>0</v>
          </cell>
        </row>
        <row r="8">
          <cell r="C8">
            <v>0</v>
          </cell>
        </row>
      </sheetData>
      <sheetData sheetId="8">
        <row r="68">
          <cell r="B68">
            <v>1895.8710000000001</v>
          </cell>
          <cell r="C68"/>
        </row>
      </sheetData>
      <sheetData sheetId="9">
        <row r="51">
          <cell r="B51">
            <v>1733.0160000000001</v>
          </cell>
          <cell r="C51"/>
        </row>
        <row r="61">
          <cell r="B61">
            <v>0</v>
          </cell>
          <cell r="C61"/>
        </row>
      </sheetData>
      <sheetData sheetId="10">
        <row r="24">
          <cell r="B24">
            <v>162.85499999999996</v>
          </cell>
          <cell r="C24"/>
        </row>
      </sheetData>
      <sheetData sheetId="11">
        <row r="23">
          <cell r="B23">
            <v>64.97999999999999</v>
          </cell>
          <cell r="C23"/>
        </row>
      </sheetData>
      <sheetData sheetId="12">
        <row r="11">
          <cell r="B11">
            <v>465.65</v>
          </cell>
          <cell r="C11"/>
        </row>
      </sheetData>
      <sheetData sheetId="13">
        <row r="41">
          <cell r="B41">
            <v>414.255</v>
          </cell>
          <cell r="C41"/>
        </row>
      </sheetData>
      <sheetData sheetId="14">
        <row r="36">
          <cell r="B36">
            <v>57.12</v>
          </cell>
          <cell r="C36"/>
        </row>
      </sheetData>
      <sheetData sheetId="15">
        <row r="6">
          <cell r="B6">
            <v>0</v>
          </cell>
          <cell r="C6"/>
        </row>
      </sheetData>
      <sheetData sheetId="16">
        <row r="55">
          <cell r="B55">
            <v>822.78499999999997</v>
          </cell>
          <cell r="C55"/>
        </row>
      </sheetData>
      <sheetData sheetId="17">
        <row r="11">
          <cell r="B11">
            <v>183.94</v>
          </cell>
          <cell r="C11"/>
        </row>
      </sheetData>
      <sheetData sheetId="18">
        <row r="11">
          <cell r="B11">
            <v>183.94</v>
          </cell>
          <cell r="C11"/>
        </row>
      </sheetData>
      <sheetData sheetId="19">
        <row r="11">
          <cell r="B11">
            <v>183.94</v>
          </cell>
          <cell r="C11"/>
        </row>
      </sheetData>
      <sheetData sheetId="20">
        <row r="11">
          <cell r="B11">
            <v>183.94</v>
          </cell>
          <cell r="C11"/>
        </row>
      </sheetData>
      <sheetData sheetId="21">
        <row r="52">
          <cell r="B52">
            <v>42.83</v>
          </cell>
          <cell r="C52"/>
        </row>
      </sheetData>
      <sheetData sheetId="22">
        <row r="52">
          <cell r="B52">
            <v>42.83</v>
          </cell>
          <cell r="C52"/>
        </row>
      </sheetData>
      <sheetData sheetId="23">
        <row r="52">
          <cell r="B52">
            <v>42.83</v>
          </cell>
          <cell r="C52"/>
        </row>
      </sheetData>
      <sheetData sheetId="24">
        <row r="35">
          <cell r="B35">
            <v>29.43</v>
          </cell>
          <cell r="C35"/>
        </row>
      </sheetData>
      <sheetData sheetId="25">
        <row r="21">
          <cell r="B21">
            <v>13.4</v>
          </cell>
          <cell r="C21"/>
        </row>
      </sheetData>
      <sheetData sheetId="26">
        <row r="7">
          <cell r="B7">
            <v>0</v>
          </cell>
          <cell r="C7"/>
        </row>
      </sheetData>
      <sheetData sheetId="27">
        <row r="7">
          <cell r="B7">
            <v>88.812000000000012</v>
          </cell>
          <cell r="C7"/>
        </row>
        <row r="15">
          <cell r="B15">
            <v>0</v>
          </cell>
        </row>
        <row r="24">
          <cell r="B24">
            <v>92.4</v>
          </cell>
        </row>
      </sheetData>
      <sheetData sheetId="28">
        <row r="57">
          <cell r="B57">
            <v>1282.922</v>
          </cell>
          <cell r="C57"/>
        </row>
      </sheetData>
      <sheetData sheetId="29">
        <row r="6">
          <cell r="B6">
            <v>112.09</v>
          </cell>
          <cell r="C6"/>
        </row>
      </sheetData>
      <sheetData sheetId="30">
        <row r="8">
          <cell r="B8">
            <v>0</v>
          </cell>
        </row>
      </sheetData>
      <sheetData sheetId="31">
        <row r="28">
          <cell r="B28">
            <v>14.59</v>
          </cell>
        </row>
      </sheetData>
      <sheetData sheetId="32">
        <row r="36">
          <cell r="B36">
            <v>18.14</v>
          </cell>
          <cell r="C36"/>
        </row>
        <row r="47">
          <cell r="B47">
            <v>0</v>
          </cell>
        </row>
        <row r="57">
          <cell r="B57">
            <v>54.85</v>
          </cell>
        </row>
      </sheetData>
      <sheetData sheetId="33">
        <row r="55">
          <cell r="B55"/>
          <cell r="C55"/>
          <cell r="D55">
            <v>7</v>
          </cell>
          <cell r="E55">
            <v>1</v>
          </cell>
          <cell r="F55">
            <v>1</v>
          </cell>
          <cell r="G55">
            <v>1</v>
          </cell>
          <cell r="H55">
            <v>1</v>
          </cell>
          <cell r="I55"/>
          <cell r="J55">
            <v>1</v>
          </cell>
          <cell r="K55">
            <v>1</v>
          </cell>
          <cell r="L55">
            <v>1</v>
          </cell>
          <cell r="M55"/>
          <cell r="N55"/>
          <cell r="O55"/>
          <cell r="P55"/>
          <cell r="Q55">
            <v>3</v>
          </cell>
          <cell r="R55"/>
          <cell r="S55">
            <v>2</v>
          </cell>
          <cell r="T55"/>
          <cell r="V55"/>
          <cell r="W55"/>
          <cell r="X55">
            <v>3</v>
          </cell>
          <cell r="Y55"/>
          <cell r="Z55"/>
          <cell r="AA55">
            <v>2</v>
          </cell>
          <cell r="AB55"/>
          <cell r="AC55"/>
          <cell r="AD55"/>
          <cell r="AE55"/>
          <cell r="AF55">
            <v>1</v>
          </cell>
          <cell r="AG55"/>
          <cell r="AH55"/>
          <cell r="AI55"/>
          <cell r="AJ55"/>
          <cell r="AK55"/>
          <cell r="AL55"/>
          <cell r="AM55"/>
          <cell r="AN55"/>
          <cell r="AO55"/>
          <cell r="AP55"/>
          <cell r="AQ55"/>
          <cell r="AR55"/>
        </row>
      </sheetData>
      <sheetData sheetId="34">
        <row r="57">
          <cell r="B57">
            <v>2</v>
          </cell>
          <cell r="C57">
            <v>2</v>
          </cell>
          <cell r="D57">
            <v>4</v>
          </cell>
          <cell r="E57">
            <v>2</v>
          </cell>
          <cell r="F57"/>
          <cell r="G57"/>
          <cell r="H57">
            <v>2</v>
          </cell>
          <cell r="I57"/>
          <cell r="J57">
            <v>2</v>
          </cell>
          <cell r="K57">
            <v>2</v>
          </cell>
          <cell r="L57">
            <v>2</v>
          </cell>
          <cell r="M57">
            <v>2</v>
          </cell>
          <cell r="N57">
            <v>2</v>
          </cell>
          <cell r="O57">
            <v>4</v>
          </cell>
          <cell r="P57">
            <v>1.08</v>
          </cell>
          <cell r="Q57">
            <v>2</v>
          </cell>
          <cell r="R57">
            <v>2</v>
          </cell>
          <cell r="S57">
            <v>2</v>
          </cell>
          <cell r="T57">
            <v>2</v>
          </cell>
          <cell r="U57"/>
          <cell r="V57"/>
          <cell r="W57"/>
          <cell r="X57"/>
          <cell r="Y57"/>
          <cell r="Z57"/>
          <cell r="AA57">
            <v>2</v>
          </cell>
          <cell r="AB57">
            <v>2</v>
          </cell>
          <cell r="AC57">
            <v>2</v>
          </cell>
          <cell r="AD57">
            <v>2</v>
          </cell>
          <cell r="AE57"/>
          <cell r="AF57"/>
          <cell r="AG57"/>
          <cell r="AH57">
            <v>2</v>
          </cell>
          <cell r="AI57"/>
          <cell r="AJ57"/>
          <cell r="AK57"/>
          <cell r="AL57"/>
          <cell r="AM57">
            <v>39.68</v>
          </cell>
          <cell r="AN57">
            <v>10.88</v>
          </cell>
          <cell r="AO57">
            <v>1</v>
          </cell>
          <cell r="AP57">
            <v>3.75</v>
          </cell>
          <cell r="AQ57"/>
          <cell r="AR57"/>
          <cell r="AS57"/>
          <cell r="AT57">
            <v>17.162500000000001</v>
          </cell>
          <cell r="AU57">
            <v>6.46</v>
          </cell>
          <cell r="AV57"/>
          <cell r="AW57"/>
          <cell r="AX57"/>
        </row>
      </sheetData>
      <sheetData sheetId="35">
        <row r="11">
          <cell r="B11">
            <v>97.875000000000014</v>
          </cell>
          <cell r="C11"/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Memória"/>
      <sheetName val="Alv15"/>
      <sheetName val="Alv20"/>
      <sheetName val="Encun"/>
      <sheetName val="Ver_Jan"/>
      <sheetName val="Con_Ver"/>
      <sheetName val="Ver_Por"/>
      <sheetName val="Cob"/>
      <sheetName val="Chap_Par"/>
      <sheetName val="Reb_Par"/>
      <sheetName val="Embç_Par"/>
      <sheetName val="Cerâm_Par"/>
      <sheetName val="Selad_Par"/>
      <sheetName val="Emass_Par"/>
      <sheetName val="Pint_Epox_Par"/>
      <sheetName val="Pint_Epox_Demarc"/>
      <sheetName val="Pint_Acr_Par"/>
      <sheetName val="Chap_Tet"/>
      <sheetName val="Reb_Tet"/>
      <sheetName val="Emass_Tet"/>
      <sheetName val="Pint_Tet"/>
      <sheetName val="For_Ges"/>
      <sheetName val="Emass_For_Ges"/>
      <sheetName val="Pint_For_Ges"/>
      <sheetName val="Pis_Porce"/>
      <sheetName val="Pis_Cer"/>
      <sheetName val="Pis_Conc_Poli"/>
      <sheetName val="Pis_Grani"/>
      <sheetName val="Con_Pis"/>
      <sheetName val="Piso_Borracha"/>
      <sheetName val="Passeio"/>
      <sheetName val="Soleira"/>
      <sheetName val="Rodape"/>
      <sheetName val="Esquad"/>
      <sheetName val="Diver"/>
      <sheetName val="Rev_Cer_Fachada"/>
    </sheetNames>
    <sheetDataSet>
      <sheetData sheetId="0"/>
      <sheetData sheetId="1">
        <row r="84">
          <cell r="B84">
            <v>126.584</v>
          </cell>
          <cell r="C84"/>
        </row>
      </sheetData>
      <sheetData sheetId="2">
        <row r="34">
          <cell r="B34">
            <v>1039.306</v>
          </cell>
          <cell r="C34"/>
        </row>
      </sheetData>
      <sheetData sheetId="3">
        <row r="103">
          <cell r="B103">
            <v>109.87999999999998</v>
          </cell>
          <cell r="C103"/>
        </row>
      </sheetData>
      <sheetData sheetId="4">
        <row r="36">
          <cell r="B36">
            <v>0.24908999999999995</v>
          </cell>
          <cell r="C36"/>
        </row>
      </sheetData>
      <sheetData sheetId="5">
        <row r="36">
          <cell r="B36">
            <v>0.24908999999999995</v>
          </cell>
          <cell r="C36"/>
        </row>
      </sheetData>
      <sheetData sheetId="6">
        <row r="49">
          <cell r="B49">
            <v>6.3839999999999994E-2</v>
          </cell>
          <cell r="C49"/>
        </row>
      </sheetData>
      <sheetData sheetId="7">
        <row r="3">
          <cell r="B3">
            <v>1103.9559999999999</v>
          </cell>
        </row>
        <row r="4">
          <cell r="C4">
            <v>157.37</v>
          </cell>
        </row>
        <row r="5">
          <cell r="C5">
            <v>54.95</v>
          </cell>
        </row>
        <row r="6">
          <cell r="B6">
            <v>62.04</v>
          </cell>
        </row>
        <row r="7">
          <cell r="B7">
            <v>62.04</v>
          </cell>
        </row>
        <row r="8">
          <cell r="C8">
            <v>157.37</v>
          </cell>
        </row>
      </sheetData>
      <sheetData sheetId="8">
        <row r="68">
          <cell r="B68">
            <v>955.61</v>
          </cell>
          <cell r="C68"/>
        </row>
      </sheetData>
      <sheetData sheetId="9">
        <row r="51">
          <cell r="B51">
            <v>895.94749999999999</v>
          </cell>
          <cell r="C51"/>
        </row>
        <row r="61">
          <cell r="B61">
            <v>0</v>
          </cell>
          <cell r="C61"/>
        </row>
      </sheetData>
      <sheetData sheetId="10">
        <row r="24">
          <cell r="B24">
            <v>59.662500000000001</v>
          </cell>
          <cell r="C24"/>
        </row>
      </sheetData>
      <sheetData sheetId="11">
        <row r="23">
          <cell r="B23">
            <v>0</v>
          </cell>
          <cell r="C23"/>
        </row>
      </sheetData>
      <sheetData sheetId="12">
        <row r="11">
          <cell r="B11">
            <v>577.39549999999997</v>
          </cell>
          <cell r="C11"/>
        </row>
      </sheetData>
      <sheetData sheetId="13">
        <row r="41">
          <cell r="B41">
            <v>121.80400000000002</v>
          </cell>
          <cell r="C41"/>
        </row>
      </sheetData>
      <sheetData sheetId="14">
        <row r="36">
          <cell r="B36">
            <v>0</v>
          </cell>
          <cell r="C36"/>
        </row>
      </sheetData>
      <sheetData sheetId="15">
        <row r="6">
          <cell r="B6">
            <v>0</v>
          </cell>
          <cell r="C6"/>
        </row>
      </sheetData>
      <sheetData sheetId="16">
        <row r="55">
          <cell r="B55">
            <v>699.19949999999994</v>
          </cell>
          <cell r="C55"/>
        </row>
      </sheetData>
      <sheetData sheetId="17">
        <row r="11">
          <cell r="B11">
            <v>116.7295</v>
          </cell>
          <cell r="C11"/>
        </row>
      </sheetData>
      <sheetData sheetId="18">
        <row r="11">
          <cell r="B11">
            <v>116.7295</v>
          </cell>
          <cell r="C11"/>
        </row>
      </sheetData>
      <sheetData sheetId="19">
        <row r="11">
          <cell r="B11">
            <v>116.7295</v>
          </cell>
          <cell r="C11"/>
        </row>
      </sheetData>
      <sheetData sheetId="20">
        <row r="11">
          <cell r="B11">
            <v>116.7295</v>
          </cell>
          <cell r="C11"/>
        </row>
      </sheetData>
      <sheetData sheetId="21">
        <row r="52">
          <cell r="B52">
            <v>0</v>
          </cell>
          <cell r="C52"/>
        </row>
      </sheetData>
      <sheetData sheetId="22">
        <row r="52">
          <cell r="B52">
            <v>0</v>
          </cell>
          <cell r="C52"/>
        </row>
      </sheetData>
      <sheetData sheetId="23">
        <row r="52">
          <cell r="B52">
            <v>0</v>
          </cell>
          <cell r="C52"/>
        </row>
      </sheetData>
      <sheetData sheetId="24">
        <row r="35">
          <cell r="B35">
            <v>0</v>
          </cell>
          <cell r="C35"/>
        </row>
      </sheetData>
      <sheetData sheetId="25">
        <row r="21">
          <cell r="B21">
            <v>0</v>
          </cell>
          <cell r="C21"/>
        </row>
      </sheetData>
      <sheetData sheetId="26">
        <row r="7">
          <cell r="B7">
            <v>0</v>
          </cell>
          <cell r="C7"/>
        </row>
      </sheetData>
      <sheetData sheetId="27">
        <row r="7">
          <cell r="B7">
            <v>0</v>
          </cell>
          <cell r="C7"/>
        </row>
        <row r="15">
          <cell r="B15">
            <v>0</v>
          </cell>
        </row>
        <row r="24">
          <cell r="B24">
            <v>0</v>
          </cell>
        </row>
      </sheetData>
      <sheetData sheetId="28">
        <row r="57">
          <cell r="B57">
            <v>65.239999999999995</v>
          </cell>
          <cell r="C57"/>
        </row>
      </sheetData>
      <sheetData sheetId="29">
        <row r="6">
          <cell r="B6">
            <v>0</v>
          </cell>
          <cell r="C6"/>
        </row>
      </sheetData>
      <sheetData sheetId="30">
        <row r="8">
          <cell r="B8">
            <v>0</v>
          </cell>
        </row>
      </sheetData>
      <sheetData sheetId="31">
        <row r="28">
          <cell r="B28">
            <v>0</v>
          </cell>
        </row>
      </sheetData>
      <sheetData sheetId="32">
        <row r="36">
          <cell r="B36">
            <v>0</v>
          </cell>
          <cell r="C36"/>
        </row>
        <row r="47">
          <cell r="B47">
            <v>0</v>
          </cell>
        </row>
        <row r="57">
          <cell r="B57">
            <v>0</v>
          </cell>
        </row>
      </sheetData>
      <sheetData sheetId="33">
        <row r="55">
          <cell r="B55"/>
          <cell r="C55"/>
          <cell r="D55"/>
          <cell r="E55"/>
          <cell r="F55"/>
          <cell r="G55"/>
          <cell r="H55"/>
          <cell r="I55"/>
          <cell r="J55"/>
          <cell r="K55"/>
          <cell r="L55"/>
          <cell r="M55">
            <v>5</v>
          </cell>
          <cell r="N55"/>
          <cell r="O55"/>
          <cell r="P55"/>
          <cell r="Q55"/>
          <cell r="R55"/>
          <cell r="S55"/>
          <cell r="T55"/>
          <cell r="V55"/>
          <cell r="W55"/>
          <cell r="X55"/>
          <cell r="Y55"/>
          <cell r="Z55">
            <v>2</v>
          </cell>
          <cell r="AA55"/>
          <cell r="AB55"/>
          <cell r="AC55"/>
          <cell r="AD55"/>
          <cell r="AE55"/>
          <cell r="AF55"/>
          <cell r="AG55"/>
          <cell r="AH55"/>
          <cell r="AI55"/>
          <cell r="AJ55"/>
          <cell r="AK55"/>
          <cell r="AL55"/>
          <cell r="AM55"/>
          <cell r="AN55"/>
          <cell r="AO55"/>
          <cell r="AP55"/>
          <cell r="AQ55"/>
          <cell r="AR55"/>
        </row>
      </sheetData>
      <sheetData sheetId="34">
        <row r="57">
          <cell r="B57"/>
          <cell r="C57"/>
          <cell r="D57"/>
          <cell r="E57"/>
          <cell r="F57"/>
          <cell r="G57"/>
          <cell r="H57"/>
          <cell r="I57"/>
          <cell r="J57"/>
          <cell r="K57"/>
          <cell r="L57"/>
          <cell r="M57"/>
          <cell r="N57"/>
          <cell r="O57"/>
          <cell r="P57"/>
          <cell r="Q57"/>
          <cell r="R57"/>
          <cell r="S57"/>
          <cell r="T57"/>
          <cell r="U57"/>
          <cell r="V57"/>
          <cell r="W57"/>
          <cell r="X57"/>
          <cell r="Y57"/>
          <cell r="Z57"/>
          <cell r="AA57"/>
          <cell r="AB57"/>
          <cell r="AC57"/>
          <cell r="AD57"/>
          <cell r="AE57"/>
          <cell r="AF57"/>
          <cell r="AG57"/>
          <cell r="AH57"/>
          <cell r="AI57"/>
          <cell r="AJ57"/>
          <cell r="AK57"/>
          <cell r="AL57"/>
          <cell r="AM57"/>
          <cell r="AN57"/>
          <cell r="AO57">
            <v>1</v>
          </cell>
          <cell r="AP57">
            <v>3.35</v>
          </cell>
          <cell r="AQ57"/>
          <cell r="AR57"/>
          <cell r="AS57"/>
          <cell r="AT57">
            <v>1.875</v>
          </cell>
          <cell r="AU57"/>
          <cell r="AV57"/>
          <cell r="AW57"/>
          <cell r="AX57"/>
        </row>
      </sheetData>
      <sheetData sheetId="35">
        <row r="11">
          <cell r="B11">
            <v>59.662500000000009</v>
          </cell>
          <cell r="C11"/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FF00"/>
  </sheetPr>
  <dimension ref="A1:AP34"/>
  <sheetViews>
    <sheetView zoomScale="85" zoomScaleNormal="85" workbookViewId="0">
      <pane ySplit="3" topLeftCell="A4" activePane="bottomLeft" state="frozenSplit"/>
      <selection pane="bottomLeft" activeCell="G36" sqref="G36"/>
    </sheetView>
  </sheetViews>
  <sheetFormatPr defaultRowHeight="15"/>
  <cols>
    <col min="1" max="1" width="20.7109375" customWidth="1"/>
    <col min="2" max="4" width="10.7109375" customWidth="1"/>
    <col min="5" max="7" width="10.7109375" style="5" customWidth="1"/>
    <col min="8" max="9" width="7.7109375" customWidth="1"/>
    <col min="10" max="10" width="7.7109375" style="5" customWidth="1"/>
    <col min="11" max="11" width="7.7109375" customWidth="1"/>
    <col min="12" max="31" width="7.7109375" style="5" customWidth="1"/>
    <col min="32" max="34" width="10.7109375" customWidth="1"/>
    <col min="37" max="37" width="15.7109375" customWidth="1"/>
    <col min="41" max="41" width="15.7109375" customWidth="1"/>
  </cols>
  <sheetData>
    <row r="1" spans="1:42" s="3" customFormat="1">
      <c r="A1" s="10" t="s">
        <v>22</v>
      </c>
      <c r="H1" s="50" t="s">
        <v>7</v>
      </c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</row>
    <row r="2" spans="1:42" s="3" customFormat="1">
      <c r="A2" s="11">
        <v>4.1500000000000004</v>
      </c>
      <c r="H2" s="51" t="s">
        <v>10</v>
      </c>
      <c r="I2" s="52"/>
      <c r="J2" s="51" t="s">
        <v>13</v>
      </c>
      <c r="K2" s="52"/>
      <c r="L2" s="51" t="s">
        <v>14</v>
      </c>
      <c r="M2" s="52"/>
      <c r="N2" s="51" t="s">
        <v>15</v>
      </c>
      <c r="O2" s="52"/>
      <c r="P2" s="51" t="s">
        <v>16</v>
      </c>
      <c r="Q2" s="52"/>
      <c r="R2" s="51" t="s">
        <v>17</v>
      </c>
      <c r="S2" s="52"/>
      <c r="T2" s="51" t="s">
        <v>18</v>
      </c>
      <c r="U2" s="52"/>
      <c r="V2" s="50" t="s">
        <v>19</v>
      </c>
      <c r="W2" s="50"/>
      <c r="X2" s="50" t="s">
        <v>20</v>
      </c>
      <c r="Y2" s="50"/>
      <c r="Z2" s="50" t="s">
        <v>21</v>
      </c>
      <c r="AA2" s="50"/>
      <c r="AB2" s="50" t="s">
        <v>23</v>
      </c>
      <c r="AC2" s="50"/>
      <c r="AD2" s="50" t="s">
        <v>24</v>
      </c>
      <c r="AE2" s="50"/>
    </row>
    <row r="3" spans="1:42" ht="30" customHeight="1">
      <c r="A3" s="1"/>
      <c r="B3" s="8" t="s">
        <v>8</v>
      </c>
      <c r="C3" s="8" t="s">
        <v>9</v>
      </c>
      <c r="D3" s="9" t="s">
        <v>2</v>
      </c>
      <c r="E3" s="9" t="s">
        <v>3</v>
      </c>
      <c r="F3" s="9" t="s">
        <v>1</v>
      </c>
      <c r="G3" s="9" t="s">
        <v>0</v>
      </c>
      <c r="H3" s="2" t="s">
        <v>11</v>
      </c>
      <c r="I3" s="2" t="s">
        <v>12</v>
      </c>
      <c r="J3" s="2" t="s">
        <v>11</v>
      </c>
      <c r="K3" s="2" t="s">
        <v>12</v>
      </c>
      <c r="L3" s="2" t="s">
        <v>11</v>
      </c>
      <c r="M3" s="2" t="s">
        <v>12</v>
      </c>
      <c r="N3" s="2" t="s">
        <v>11</v>
      </c>
      <c r="O3" s="2" t="s">
        <v>12</v>
      </c>
      <c r="P3" s="2" t="s">
        <v>11</v>
      </c>
      <c r="Q3" s="2" t="s">
        <v>12</v>
      </c>
      <c r="R3" s="2" t="s">
        <v>11</v>
      </c>
      <c r="S3" s="2" t="s">
        <v>12</v>
      </c>
      <c r="T3" s="2" t="s">
        <v>11</v>
      </c>
      <c r="U3" s="2" t="s">
        <v>12</v>
      </c>
      <c r="V3" s="2" t="s">
        <v>11</v>
      </c>
      <c r="W3" s="2" t="s">
        <v>12</v>
      </c>
      <c r="X3" s="2" t="s">
        <v>11</v>
      </c>
      <c r="Y3" s="2" t="s">
        <v>12</v>
      </c>
      <c r="Z3" s="2" t="s">
        <v>11</v>
      </c>
      <c r="AA3" s="2" t="s">
        <v>12</v>
      </c>
      <c r="AB3" s="2" t="s">
        <v>11</v>
      </c>
      <c r="AC3" s="2" t="s">
        <v>12</v>
      </c>
      <c r="AD3" s="2" t="s">
        <v>11</v>
      </c>
      <c r="AE3" s="2" t="s">
        <v>12</v>
      </c>
      <c r="AI3" s="1"/>
      <c r="AJ3" s="1"/>
      <c r="AK3" s="1"/>
      <c r="AL3" s="1"/>
      <c r="AM3" s="1"/>
      <c r="AN3" s="1"/>
      <c r="AO3" s="1"/>
      <c r="AP3" s="1"/>
    </row>
    <row r="4" spans="1:42">
      <c r="A4" s="24" t="s">
        <v>6</v>
      </c>
      <c r="B4" s="6">
        <v>7.1</v>
      </c>
      <c r="C4" s="6">
        <v>4.0199999999999996</v>
      </c>
      <c r="D4" s="6">
        <f>2*(B4+C4)</f>
        <v>22.24</v>
      </c>
      <c r="E4" s="4">
        <f t="shared" ref="E4:E27" si="0">(D4*$A$2)-((H4*I4)+(J4*K4)+(L4*M4)+(N4*O4)+(P4*Q4)+(R4*S4)+(T4*U4)+(V4*W4)+(X4*Y4)+(Z4*AA4)+(AB4*AC4)+(AD4*AE4))</f>
        <v>54.720000000000006</v>
      </c>
      <c r="F4" s="4">
        <f t="shared" ref="F4:F24" si="1">B4*C4</f>
        <v>28.541999999999994</v>
      </c>
      <c r="G4" s="4">
        <f>F4</f>
        <v>28.541999999999994</v>
      </c>
      <c r="H4" s="15"/>
      <c r="I4" s="16"/>
      <c r="J4" s="15"/>
      <c r="K4" s="16"/>
      <c r="L4" s="15"/>
      <c r="M4" s="16"/>
      <c r="N4" s="15"/>
      <c r="O4" s="16"/>
      <c r="P4" s="13">
        <v>2.1</v>
      </c>
      <c r="Q4" s="14">
        <v>2.1</v>
      </c>
      <c r="R4" s="13">
        <v>1.48</v>
      </c>
      <c r="S4" s="14">
        <v>2.1</v>
      </c>
      <c r="T4" s="13">
        <v>1.48</v>
      </c>
      <c r="U4" s="14">
        <v>2.1</v>
      </c>
      <c r="V4" s="13">
        <v>7.7</v>
      </c>
      <c r="W4" s="14">
        <v>3.5</v>
      </c>
      <c r="X4" s="15"/>
      <c r="Y4" s="16"/>
      <c r="Z4" s="15"/>
      <c r="AA4" s="16"/>
      <c r="AB4" s="15"/>
      <c r="AC4" s="16"/>
      <c r="AD4" s="15"/>
      <c r="AE4" s="16"/>
      <c r="AI4" s="1"/>
      <c r="AJ4" s="1"/>
      <c r="AK4" s="1"/>
      <c r="AL4" s="1"/>
      <c r="AM4" s="1"/>
      <c r="AN4" s="1"/>
      <c r="AO4" s="1"/>
      <c r="AP4" s="1"/>
    </row>
    <row r="5" spans="1:42" s="5" customFormat="1">
      <c r="A5" s="24" t="s">
        <v>42</v>
      </c>
      <c r="B5" s="6">
        <v>3.35</v>
      </c>
      <c r="C5" s="6">
        <v>4.0199999999999996</v>
      </c>
      <c r="D5" s="6">
        <f t="shared" ref="D5:D27" si="2">2*(B5+C5)</f>
        <v>14.739999999999998</v>
      </c>
      <c r="E5" s="4">
        <f t="shared" si="0"/>
        <v>55.720999999999997</v>
      </c>
      <c r="F5" s="4">
        <f t="shared" si="1"/>
        <v>13.466999999999999</v>
      </c>
      <c r="G5" s="4">
        <f t="shared" ref="G5:G24" si="3">F5</f>
        <v>13.466999999999999</v>
      </c>
      <c r="H5" s="13">
        <v>3.35</v>
      </c>
      <c r="I5" s="14">
        <v>1</v>
      </c>
      <c r="J5" s="15"/>
      <c r="K5" s="16"/>
      <c r="L5" s="15"/>
      <c r="M5" s="16"/>
      <c r="N5" s="15"/>
      <c r="O5" s="16"/>
      <c r="P5" s="13">
        <v>1</v>
      </c>
      <c r="Q5" s="14">
        <v>2.1</v>
      </c>
      <c r="R5" s="15"/>
      <c r="S5" s="16"/>
      <c r="T5" s="15"/>
      <c r="U5" s="16"/>
      <c r="V5" s="15"/>
      <c r="W5" s="16"/>
      <c r="X5" s="15"/>
      <c r="Y5" s="16"/>
      <c r="Z5" s="15"/>
      <c r="AA5" s="16"/>
      <c r="AB5" s="15"/>
      <c r="AC5" s="16"/>
      <c r="AD5" s="15"/>
      <c r="AE5" s="16"/>
      <c r="AI5" s="1"/>
      <c r="AJ5" s="1"/>
      <c r="AM5" s="1"/>
      <c r="AN5" s="1"/>
    </row>
    <row r="6" spans="1:42" s="5" customFormat="1">
      <c r="A6" s="24" t="s">
        <v>43</v>
      </c>
      <c r="B6" s="6">
        <v>1.65</v>
      </c>
      <c r="C6" s="6">
        <v>1.89</v>
      </c>
      <c r="D6" s="6">
        <f t="shared" si="2"/>
        <v>7.08</v>
      </c>
      <c r="E6" s="4">
        <f t="shared" si="0"/>
        <v>26.274000000000001</v>
      </c>
      <c r="F6" s="7"/>
      <c r="G6" s="7"/>
      <c r="H6" s="15"/>
      <c r="I6" s="16"/>
      <c r="J6" s="15"/>
      <c r="K6" s="16"/>
      <c r="L6" s="15"/>
      <c r="M6" s="16"/>
      <c r="N6" s="15"/>
      <c r="O6" s="16"/>
      <c r="P6" s="13">
        <v>1.48</v>
      </c>
      <c r="Q6" s="14">
        <v>2.1</v>
      </c>
      <c r="R6" s="15"/>
      <c r="S6" s="16"/>
      <c r="T6" s="15"/>
      <c r="U6" s="16"/>
      <c r="V6" s="15"/>
      <c r="W6" s="16"/>
      <c r="X6" s="15"/>
      <c r="Y6" s="16"/>
      <c r="Z6" s="15"/>
      <c r="AA6" s="16"/>
      <c r="AB6" s="15"/>
      <c r="AC6" s="16"/>
      <c r="AD6" s="15"/>
      <c r="AE6" s="16"/>
      <c r="AI6" s="1"/>
      <c r="AJ6" s="1"/>
      <c r="AK6" s="1"/>
      <c r="AL6" s="1"/>
      <c r="AM6" s="1"/>
      <c r="AN6" s="1"/>
      <c r="AO6" s="1"/>
      <c r="AP6" s="1"/>
    </row>
    <row r="7" spans="1:42" s="5" customFormat="1">
      <c r="A7" s="24" t="s">
        <v>44</v>
      </c>
      <c r="B7" s="6">
        <v>1.65</v>
      </c>
      <c r="C7" s="6">
        <v>1.93</v>
      </c>
      <c r="D7" s="6">
        <f t="shared" si="2"/>
        <v>7.16</v>
      </c>
      <c r="E7" s="4">
        <f t="shared" si="0"/>
        <v>26.606000000000002</v>
      </c>
      <c r="F7" s="7"/>
      <c r="G7" s="7"/>
      <c r="H7" s="15"/>
      <c r="I7" s="16"/>
      <c r="J7" s="15"/>
      <c r="K7" s="16"/>
      <c r="L7" s="15"/>
      <c r="M7" s="16"/>
      <c r="N7" s="15"/>
      <c r="O7" s="16"/>
      <c r="P7" s="13">
        <v>1.48</v>
      </c>
      <c r="Q7" s="14">
        <v>2.1</v>
      </c>
      <c r="R7" s="15"/>
      <c r="S7" s="16"/>
      <c r="T7" s="15"/>
      <c r="U7" s="16"/>
      <c r="V7" s="15"/>
      <c r="W7" s="16"/>
      <c r="X7" s="15"/>
      <c r="Y7" s="16"/>
      <c r="Z7" s="15"/>
      <c r="AA7" s="16"/>
      <c r="AB7" s="15"/>
      <c r="AC7" s="16"/>
      <c r="AD7" s="15"/>
      <c r="AE7" s="16"/>
      <c r="AI7" s="1"/>
      <c r="AJ7" s="1"/>
      <c r="AK7" s="1"/>
      <c r="AL7" s="1"/>
      <c r="AM7" s="1"/>
      <c r="AN7" s="1"/>
      <c r="AO7" s="1"/>
      <c r="AP7" s="1"/>
    </row>
    <row r="8" spans="1:42" s="5" customFormat="1">
      <c r="A8" s="24" t="s">
        <v>45</v>
      </c>
      <c r="B8" s="7"/>
      <c r="C8" s="7"/>
      <c r="D8" s="6">
        <v>214.86</v>
      </c>
      <c r="E8" s="4">
        <f t="shared" si="0"/>
        <v>809.6690000000001</v>
      </c>
      <c r="F8" s="4">
        <f>916.38-(4.62*3.65)</f>
        <v>899.51700000000005</v>
      </c>
      <c r="G8" s="4">
        <f t="shared" si="3"/>
        <v>899.51700000000005</v>
      </c>
      <c r="H8" s="13">
        <v>1</v>
      </c>
      <c r="I8" s="14">
        <v>2.1</v>
      </c>
      <c r="J8" s="13">
        <v>13.9</v>
      </c>
      <c r="K8" s="14">
        <v>1</v>
      </c>
      <c r="L8" s="13">
        <v>2.1</v>
      </c>
      <c r="M8" s="14">
        <v>2.1</v>
      </c>
      <c r="N8" s="13">
        <v>11.55</v>
      </c>
      <c r="O8" s="14">
        <v>1</v>
      </c>
      <c r="P8" s="13">
        <v>1.2</v>
      </c>
      <c r="Q8" s="14">
        <v>2.1</v>
      </c>
      <c r="R8" s="13">
        <v>5.8</v>
      </c>
      <c r="S8" s="14">
        <v>2.2999999999999998</v>
      </c>
      <c r="T8" s="13">
        <v>3</v>
      </c>
      <c r="U8" s="14">
        <v>2.1</v>
      </c>
      <c r="V8" s="13">
        <v>1.2</v>
      </c>
      <c r="W8" s="14">
        <v>2.1</v>
      </c>
      <c r="X8" s="13">
        <f>3*2.1</f>
        <v>6.3000000000000007</v>
      </c>
      <c r="Y8" s="14">
        <v>2.1</v>
      </c>
      <c r="Z8" s="13">
        <v>1.6</v>
      </c>
      <c r="AA8" s="14">
        <v>2.1</v>
      </c>
      <c r="AB8" s="13">
        <v>4.1500000000000004</v>
      </c>
      <c r="AC8" s="14">
        <v>1</v>
      </c>
      <c r="AD8" s="13">
        <v>2.2000000000000002</v>
      </c>
      <c r="AE8" s="14">
        <v>2.1</v>
      </c>
      <c r="AI8" s="1"/>
      <c r="AJ8" s="1"/>
      <c r="AK8" s="1"/>
      <c r="AL8" s="1"/>
      <c r="AM8" s="1"/>
      <c r="AN8" s="1"/>
      <c r="AO8" s="1"/>
      <c r="AP8" s="1"/>
    </row>
    <row r="9" spans="1:42" s="5" customFormat="1">
      <c r="A9" s="32" t="s">
        <v>126</v>
      </c>
      <c r="B9" s="7"/>
      <c r="C9" s="7"/>
      <c r="D9" s="6">
        <v>27.16</v>
      </c>
      <c r="E9" s="4">
        <f t="shared" si="0"/>
        <v>105.30100000000002</v>
      </c>
      <c r="F9" s="7"/>
      <c r="G9" s="7"/>
      <c r="H9" s="15"/>
      <c r="I9" s="16"/>
      <c r="J9" s="15"/>
      <c r="K9" s="16"/>
      <c r="L9" s="15"/>
      <c r="M9" s="16"/>
      <c r="N9" s="15"/>
      <c r="O9" s="16"/>
      <c r="P9" s="13">
        <v>1.33</v>
      </c>
      <c r="Q9" s="14">
        <v>2.1</v>
      </c>
      <c r="R9" s="15"/>
      <c r="S9" s="16"/>
      <c r="T9" s="15"/>
      <c r="U9" s="16"/>
      <c r="V9" s="15"/>
      <c r="W9" s="16"/>
      <c r="X9" s="15"/>
      <c r="Y9" s="16"/>
      <c r="Z9" s="15"/>
      <c r="AA9" s="16"/>
      <c r="AB9" s="15"/>
      <c r="AC9" s="16"/>
      <c r="AD9" s="13">
        <v>2.2000000000000002</v>
      </c>
      <c r="AE9" s="14">
        <v>2.1</v>
      </c>
      <c r="AI9" s="1"/>
      <c r="AJ9" s="1"/>
      <c r="AK9" s="1"/>
      <c r="AL9" s="1"/>
      <c r="AM9" s="1"/>
      <c r="AN9" s="1"/>
      <c r="AO9" s="1"/>
      <c r="AP9" s="1"/>
    </row>
    <row r="10" spans="1:42" s="5" customFormat="1">
      <c r="A10" s="24" t="s">
        <v>46</v>
      </c>
      <c r="B10" s="6">
        <v>1.73</v>
      </c>
      <c r="C10" s="6">
        <v>1.5</v>
      </c>
      <c r="D10" s="6">
        <f t="shared" si="2"/>
        <v>6.46</v>
      </c>
      <c r="E10" s="4">
        <f t="shared" si="0"/>
        <v>24.016000000000002</v>
      </c>
      <c r="F10" s="7"/>
      <c r="G10" s="7"/>
      <c r="H10" s="15"/>
      <c r="I10" s="16"/>
      <c r="J10" s="15"/>
      <c r="K10" s="16"/>
      <c r="L10" s="15"/>
      <c r="M10" s="16"/>
      <c r="N10" s="15"/>
      <c r="O10" s="16"/>
      <c r="P10" s="13">
        <v>1.33</v>
      </c>
      <c r="Q10" s="14">
        <v>2.1</v>
      </c>
      <c r="R10" s="15"/>
      <c r="S10" s="16"/>
      <c r="T10" s="15"/>
      <c r="U10" s="16"/>
      <c r="V10" s="15"/>
      <c r="W10" s="16"/>
      <c r="X10" s="15"/>
      <c r="Y10" s="16"/>
      <c r="Z10" s="15"/>
      <c r="AA10" s="16"/>
      <c r="AB10" s="15"/>
      <c r="AC10" s="16"/>
      <c r="AD10" s="15"/>
      <c r="AE10" s="16"/>
      <c r="AI10" s="1"/>
      <c r="AJ10" s="1"/>
      <c r="AK10" s="1"/>
      <c r="AL10" s="1"/>
      <c r="AM10" s="1"/>
      <c r="AN10" s="1"/>
      <c r="AO10" s="1"/>
      <c r="AP10" s="1"/>
    </row>
    <row r="11" spans="1:42" s="5" customFormat="1">
      <c r="A11" s="24" t="s">
        <v>47</v>
      </c>
      <c r="B11" s="6">
        <v>2.75</v>
      </c>
      <c r="C11" s="6">
        <v>3.95</v>
      </c>
      <c r="D11" s="6">
        <f t="shared" si="2"/>
        <v>13.4</v>
      </c>
      <c r="E11" s="4">
        <f t="shared" si="0"/>
        <v>53.330000000000005</v>
      </c>
      <c r="F11" s="4">
        <f t="shared" si="1"/>
        <v>10.862500000000001</v>
      </c>
      <c r="G11" s="4">
        <f t="shared" si="3"/>
        <v>10.862500000000001</v>
      </c>
      <c r="H11" s="15"/>
      <c r="I11" s="16"/>
      <c r="J11" s="15"/>
      <c r="K11" s="16"/>
      <c r="L11" s="15"/>
      <c r="M11" s="16"/>
      <c r="N11" s="15"/>
      <c r="O11" s="16"/>
      <c r="P11" s="13">
        <v>0.8</v>
      </c>
      <c r="Q11" s="14">
        <v>2.1</v>
      </c>
      <c r="R11" s="15"/>
      <c r="S11" s="16"/>
      <c r="T11" s="15"/>
      <c r="U11" s="16"/>
      <c r="V11" s="15"/>
      <c r="W11" s="16"/>
      <c r="X11" s="15"/>
      <c r="Y11" s="16"/>
      <c r="Z11" s="15"/>
      <c r="AA11" s="16"/>
      <c r="AB11" s="13">
        <v>1</v>
      </c>
      <c r="AC11" s="14">
        <v>0.6</v>
      </c>
      <c r="AD11" s="15"/>
      <c r="AE11" s="16"/>
      <c r="AI11" s="1"/>
      <c r="AJ11" s="1"/>
      <c r="AK11" s="1"/>
      <c r="AL11" s="1"/>
      <c r="AM11" s="1"/>
      <c r="AN11" s="1"/>
      <c r="AO11" s="1"/>
      <c r="AP11" s="1"/>
    </row>
    <row r="12" spans="1:42" s="5" customFormat="1">
      <c r="A12" s="24" t="s">
        <v>48</v>
      </c>
      <c r="B12" s="6">
        <v>3.1</v>
      </c>
      <c r="C12" s="6">
        <v>2.6</v>
      </c>
      <c r="D12" s="6">
        <f t="shared" si="2"/>
        <v>11.4</v>
      </c>
      <c r="E12" s="4">
        <f t="shared" si="0"/>
        <v>45.63</v>
      </c>
      <c r="F12" s="4">
        <f t="shared" si="1"/>
        <v>8.06</v>
      </c>
      <c r="G12" s="4">
        <f t="shared" si="3"/>
        <v>8.06</v>
      </c>
      <c r="H12" s="15"/>
      <c r="I12" s="16"/>
      <c r="J12" s="15"/>
      <c r="K12" s="16"/>
      <c r="L12" s="15"/>
      <c r="M12" s="16"/>
      <c r="N12" s="15"/>
      <c r="O12" s="16"/>
      <c r="P12" s="13">
        <v>0.8</v>
      </c>
      <c r="Q12" s="14">
        <v>2.1</v>
      </c>
      <c r="R12" s="15"/>
      <c r="S12" s="16"/>
      <c r="T12" s="15"/>
      <c r="U12" s="16"/>
      <c r="V12" s="15"/>
      <c r="W12" s="16"/>
      <c r="X12" s="15"/>
      <c r="Y12" s="16"/>
      <c r="Z12" s="15"/>
      <c r="AA12" s="16"/>
      <c r="AB12" s="15"/>
      <c r="AC12" s="16"/>
      <c r="AD12" s="15"/>
      <c r="AE12" s="16"/>
      <c r="AI12" s="1"/>
      <c r="AJ12" s="1"/>
      <c r="AK12" s="1"/>
      <c r="AL12" s="1"/>
      <c r="AM12" s="1"/>
      <c r="AN12" s="1"/>
      <c r="AO12" s="1"/>
      <c r="AP12" s="1"/>
    </row>
    <row r="13" spans="1:42" s="5" customFormat="1">
      <c r="A13" s="26" t="s">
        <v>62</v>
      </c>
      <c r="B13" s="6">
        <v>4.55</v>
      </c>
      <c r="C13" s="6">
        <v>3.5</v>
      </c>
      <c r="D13" s="6">
        <f t="shared" si="2"/>
        <v>16.100000000000001</v>
      </c>
      <c r="E13" s="4">
        <f t="shared" si="0"/>
        <v>61.775000000000013</v>
      </c>
      <c r="F13" s="4">
        <f t="shared" si="1"/>
        <v>15.924999999999999</v>
      </c>
      <c r="G13" s="4">
        <f t="shared" si="3"/>
        <v>15.924999999999999</v>
      </c>
      <c r="H13" s="15"/>
      <c r="I13" s="16"/>
      <c r="J13" s="15"/>
      <c r="K13" s="16"/>
      <c r="L13" s="15"/>
      <c r="M13" s="16"/>
      <c r="N13" s="15"/>
      <c r="O13" s="16"/>
      <c r="P13" s="13">
        <v>1.2</v>
      </c>
      <c r="Q13" s="14">
        <v>2.1</v>
      </c>
      <c r="R13" s="13">
        <v>1.2</v>
      </c>
      <c r="S13" s="14">
        <v>2.1</v>
      </c>
      <c r="T13" s="15"/>
      <c r="U13" s="16"/>
      <c r="V13" s="15"/>
      <c r="W13" s="16"/>
      <c r="X13" s="15"/>
      <c r="Y13" s="16"/>
      <c r="Z13" s="15"/>
      <c r="AA13" s="16"/>
      <c r="AB13" s="15"/>
      <c r="AC13" s="16"/>
      <c r="AD13" s="15"/>
      <c r="AE13" s="16"/>
      <c r="AI13" s="1"/>
      <c r="AJ13" s="1"/>
      <c r="AK13" s="1"/>
      <c r="AL13" s="1"/>
      <c r="AM13" s="1"/>
      <c r="AN13" s="1"/>
      <c r="AO13" s="1"/>
      <c r="AP13" s="1"/>
    </row>
    <row r="14" spans="1:42" s="5" customFormat="1">
      <c r="A14" s="24" t="s">
        <v>49</v>
      </c>
      <c r="B14" s="6">
        <v>3.83</v>
      </c>
      <c r="C14" s="6">
        <v>7.95</v>
      </c>
      <c r="D14" s="6">
        <f t="shared" si="2"/>
        <v>23.560000000000002</v>
      </c>
      <c r="E14" s="4">
        <f t="shared" si="0"/>
        <v>91.474000000000018</v>
      </c>
      <c r="F14" s="4">
        <f t="shared" si="1"/>
        <v>30.448500000000003</v>
      </c>
      <c r="G14" s="4">
        <f t="shared" si="3"/>
        <v>30.448500000000003</v>
      </c>
      <c r="H14" s="15"/>
      <c r="I14" s="16"/>
      <c r="J14" s="15"/>
      <c r="K14" s="16"/>
      <c r="L14" s="15"/>
      <c r="M14" s="16"/>
      <c r="N14" s="15"/>
      <c r="O14" s="16"/>
      <c r="P14" s="13">
        <v>3</v>
      </c>
      <c r="Q14" s="14">
        <v>2.1</v>
      </c>
      <c r="R14" s="15"/>
      <c r="S14" s="16"/>
      <c r="T14" s="15"/>
      <c r="U14" s="16"/>
      <c r="V14" s="15"/>
      <c r="W14" s="16"/>
      <c r="X14" s="15"/>
      <c r="Y14" s="16"/>
      <c r="Z14" s="15"/>
      <c r="AA14" s="16"/>
      <c r="AB14" s="15"/>
      <c r="AC14" s="16"/>
      <c r="AD14" s="15"/>
      <c r="AE14" s="16"/>
      <c r="AI14" s="1"/>
      <c r="AJ14" s="1"/>
      <c r="AK14" s="1"/>
      <c r="AL14" s="1"/>
      <c r="AM14" s="1"/>
      <c r="AN14" s="1"/>
      <c r="AO14" s="1"/>
      <c r="AP14" s="1"/>
    </row>
    <row r="15" spans="1:42" s="5" customFormat="1">
      <c r="A15" s="24" t="s">
        <v>50</v>
      </c>
      <c r="B15" s="6">
        <v>4.55</v>
      </c>
      <c r="C15" s="6">
        <v>2.2000000000000002</v>
      </c>
      <c r="D15" s="6">
        <f t="shared" si="2"/>
        <v>13.5</v>
      </c>
      <c r="E15" s="4">
        <f t="shared" si="0"/>
        <v>54.345000000000006</v>
      </c>
      <c r="F15" s="4">
        <f t="shared" si="1"/>
        <v>10.01</v>
      </c>
      <c r="G15" s="4">
        <f t="shared" si="3"/>
        <v>10.01</v>
      </c>
      <c r="H15" s="15"/>
      <c r="I15" s="16"/>
      <c r="J15" s="15"/>
      <c r="K15" s="16"/>
      <c r="L15" s="15"/>
      <c r="M15" s="16"/>
      <c r="N15" s="15"/>
      <c r="O15" s="16"/>
      <c r="P15" s="13">
        <v>0.8</v>
      </c>
      <c r="Q15" s="14">
        <v>2.1</v>
      </c>
      <c r="R15" s="15"/>
      <c r="S15" s="16"/>
      <c r="T15" s="15"/>
      <c r="U15" s="16"/>
      <c r="V15" s="15"/>
      <c r="W15" s="16"/>
      <c r="X15" s="15"/>
      <c r="Y15" s="16"/>
      <c r="Z15" s="15"/>
      <c r="AA15" s="16"/>
      <c r="AB15" s="15"/>
      <c r="AC15" s="16"/>
      <c r="AD15" s="15"/>
      <c r="AE15" s="16"/>
      <c r="AI15" s="1"/>
      <c r="AJ15" s="1"/>
      <c r="AK15" s="1"/>
      <c r="AL15" s="1"/>
      <c r="AM15" s="1"/>
      <c r="AN15" s="1"/>
      <c r="AO15" s="1"/>
      <c r="AP15" s="1"/>
    </row>
    <row r="16" spans="1:42" s="5" customFormat="1">
      <c r="A16" s="24" t="s">
        <v>51</v>
      </c>
      <c r="B16" s="6">
        <v>1.5</v>
      </c>
      <c r="C16" s="6">
        <v>1.95</v>
      </c>
      <c r="D16" s="6">
        <f t="shared" si="2"/>
        <v>6.9</v>
      </c>
      <c r="E16" s="4">
        <f t="shared" si="0"/>
        <v>28.635000000000005</v>
      </c>
      <c r="F16" s="7"/>
      <c r="G16" s="7"/>
      <c r="H16" s="15"/>
      <c r="I16" s="16"/>
      <c r="J16" s="15"/>
      <c r="K16" s="16"/>
      <c r="L16" s="15"/>
      <c r="M16" s="16"/>
      <c r="N16" s="15"/>
      <c r="O16" s="16"/>
      <c r="P16" s="15"/>
      <c r="Q16" s="16"/>
      <c r="R16" s="15"/>
      <c r="S16" s="16"/>
      <c r="T16" s="15"/>
      <c r="U16" s="16"/>
      <c r="V16" s="15"/>
      <c r="W16" s="16"/>
      <c r="X16" s="15"/>
      <c r="Y16" s="16"/>
      <c r="Z16" s="15"/>
      <c r="AA16" s="16"/>
      <c r="AB16" s="15"/>
      <c r="AC16" s="16"/>
      <c r="AD16" s="15"/>
      <c r="AE16" s="16"/>
      <c r="AI16" s="1"/>
      <c r="AJ16" s="1"/>
      <c r="AK16" s="1"/>
      <c r="AL16" s="1"/>
      <c r="AM16" s="1"/>
      <c r="AN16" s="1"/>
      <c r="AO16" s="1"/>
      <c r="AP16" s="1"/>
    </row>
    <row r="17" spans="1:42" s="5" customFormat="1">
      <c r="A17" s="24" t="s">
        <v>52</v>
      </c>
      <c r="B17" s="6">
        <v>2.9</v>
      </c>
      <c r="C17" s="6">
        <v>1.95</v>
      </c>
      <c r="D17" s="6">
        <f t="shared" si="2"/>
        <v>9.6999999999999993</v>
      </c>
      <c r="E17" s="4">
        <f t="shared" si="0"/>
        <v>37.945</v>
      </c>
      <c r="F17" s="7"/>
      <c r="G17" s="7"/>
      <c r="H17" s="15"/>
      <c r="I17" s="16"/>
      <c r="J17" s="15"/>
      <c r="K17" s="16"/>
      <c r="L17" s="15"/>
      <c r="M17" s="16"/>
      <c r="N17" s="15"/>
      <c r="O17" s="16"/>
      <c r="P17" s="13">
        <v>1.1000000000000001</v>
      </c>
      <c r="Q17" s="14">
        <v>2.1</v>
      </c>
      <c r="R17" s="15"/>
      <c r="S17" s="16"/>
      <c r="T17" s="15"/>
      <c r="U17" s="16"/>
      <c r="V17" s="15"/>
      <c r="W17" s="16"/>
      <c r="X17" s="15"/>
      <c r="Y17" s="16"/>
      <c r="Z17" s="15"/>
      <c r="AA17" s="16"/>
      <c r="AB17" s="15"/>
      <c r="AC17" s="16"/>
      <c r="AD17" s="15"/>
      <c r="AE17" s="16"/>
      <c r="AI17" s="1"/>
      <c r="AJ17" s="1"/>
      <c r="AK17" s="1"/>
      <c r="AL17" s="1"/>
      <c r="AM17" s="1"/>
      <c r="AN17" s="1"/>
      <c r="AO17" s="1"/>
      <c r="AP17" s="1"/>
    </row>
    <row r="18" spans="1:42" s="5" customFormat="1">
      <c r="A18" s="24" t="s">
        <v>53</v>
      </c>
      <c r="B18" s="6">
        <v>1.9</v>
      </c>
      <c r="C18" s="6">
        <v>2.4500000000000002</v>
      </c>
      <c r="D18" s="6">
        <f t="shared" si="2"/>
        <v>8.6999999999999993</v>
      </c>
      <c r="E18" s="4">
        <f t="shared" si="0"/>
        <v>28.219999999999995</v>
      </c>
      <c r="F18" s="7"/>
      <c r="G18" s="7"/>
      <c r="H18" s="15"/>
      <c r="I18" s="16"/>
      <c r="J18" s="15"/>
      <c r="K18" s="16"/>
      <c r="L18" s="15"/>
      <c r="M18" s="16"/>
      <c r="N18" s="15"/>
      <c r="O18" s="16"/>
      <c r="P18" s="15"/>
      <c r="Q18" s="16"/>
      <c r="R18" s="15"/>
      <c r="S18" s="16"/>
      <c r="T18" s="15"/>
      <c r="U18" s="16"/>
      <c r="V18" s="15"/>
      <c r="W18" s="16"/>
      <c r="X18" s="15"/>
      <c r="Y18" s="16"/>
      <c r="Z18" s="15"/>
      <c r="AA18" s="16"/>
      <c r="AB18" s="15"/>
      <c r="AC18" s="16"/>
      <c r="AD18" s="13">
        <v>1.9</v>
      </c>
      <c r="AE18" s="14">
        <v>4.1500000000000004</v>
      </c>
      <c r="AI18" s="1"/>
      <c r="AJ18" s="1"/>
      <c r="AK18" s="1"/>
      <c r="AL18" s="1"/>
      <c r="AM18" s="1"/>
      <c r="AN18" s="1"/>
      <c r="AO18" s="1"/>
      <c r="AP18" s="1"/>
    </row>
    <row r="19" spans="1:42" s="5" customFormat="1">
      <c r="A19" s="24" t="s">
        <v>54</v>
      </c>
      <c r="B19" s="7"/>
      <c r="C19" s="7"/>
      <c r="D19" s="6">
        <v>15.58</v>
      </c>
      <c r="E19" s="4">
        <f t="shared" si="0"/>
        <v>62.37700000000001</v>
      </c>
      <c r="F19" s="4">
        <v>14.45</v>
      </c>
      <c r="G19" s="4">
        <f t="shared" si="3"/>
        <v>14.45</v>
      </c>
      <c r="H19" s="15"/>
      <c r="I19" s="16"/>
      <c r="J19" s="15"/>
      <c r="K19" s="16"/>
      <c r="L19" s="15"/>
      <c r="M19" s="16"/>
      <c r="N19" s="15"/>
      <c r="O19" s="16"/>
      <c r="P19" s="13">
        <v>0.8</v>
      </c>
      <c r="Q19" s="14">
        <v>2.1</v>
      </c>
      <c r="R19" s="15"/>
      <c r="S19" s="16"/>
      <c r="T19" s="15"/>
      <c r="U19" s="16"/>
      <c r="V19" s="15"/>
      <c r="W19" s="16"/>
      <c r="X19" s="15"/>
      <c r="Y19" s="16"/>
      <c r="Z19" s="15"/>
      <c r="AA19" s="16"/>
      <c r="AB19" s="13">
        <v>1</v>
      </c>
      <c r="AC19" s="14">
        <v>0.6</v>
      </c>
      <c r="AD19" s="15"/>
      <c r="AE19" s="16"/>
      <c r="AI19" s="1"/>
      <c r="AJ19" s="1"/>
      <c r="AK19" s="1"/>
      <c r="AL19" s="1"/>
      <c r="AM19" s="1"/>
      <c r="AN19" s="1"/>
      <c r="AO19" s="1"/>
      <c r="AP19" s="1"/>
    </row>
    <row r="20" spans="1:42" s="5" customFormat="1">
      <c r="A20" s="24" t="s">
        <v>4</v>
      </c>
      <c r="B20" s="7"/>
      <c r="C20" s="7"/>
      <c r="D20" s="6">
        <v>41.58</v>
      </c>
      <c r="E20" s="4">
        <f t="shared" si="0"/>
        <v>138.84200000000001</v>
      </c>
      <c r="F20" s="4">
        <v>37.86</v>
      </c>
      <c r="G20" s="4">
        <f t="shared" si="3"/>
        <v>37.86</v>
      </c>
      <c r="H20" s="13">
        <v>0.8</v>
      </c>
      <c r="I20" s="14">
        <v>2.1</v>
      </c>
      <c r="J20" s="13">
        <v>0.8</v>
      </c>
      <c r="K20" s="14">
        <v>2.1</v>
      </c>
      <c r="L20" s="13">
        <v>1.9</v>
      </c>
      <c r="M20" s="14">
        <v>4.1500000000000004</v>
      </c>
      <c r="N20" s="13">
        <v>0.8</v>
      </c>
      <c r="O20" s="14">
        <v>2.1</v>
      </c>
      <c r="P20" s="13">
        <v>2.1</v>
      </c>
      <c r="Q20" s="14">
        <v>2.1</v>
      </c>
      <c r="R20" s="13">
        <v>0.8</v>
      </c>
      <c r="S20" s="14">
        <v>2.1</v>
      </c>
      <c r="T20" s="13">
        <v>1.2</v>
      </c>
      <c r="U20" s="14">
        <v>2.1</v>
      </c>
      <c r="V20" s="13">
        <v>0.9</v>
      </c>
      <c r="W20" s="14">
        <v>2.1</v>
      </c>
      <c r="X20" s="13">
        <v>1.1000000000000001</v>
      </c>
      <c r="Y20" s="14">
        <v>2.1</v>
      </c>
      <c r="Z20" s="13">
        <v>0.8</v>
      </c>
      <c r="AA20" s="14">
        <v>2.1</v>
      </c>
      <c r="AB20" s="13">
        <v>0.9</v>
      </c>
      <c r="AC20" s="14">
        <v>2.1</v>
      </c>
      <c r="AD20" s="13">
        <v>2.1</v>
      </c>
      <c r="AE20" s="14">
        <v>2.1</v>
      </c>
      <c r="AI20" s="1"/>
      <c r="AJ20" s="1"/>
      <c r="AK20" s="1"/>
      <c r="AL20" s="1"/>
      <c r="AM20" s="1"/>
      <c r="AN20" s="1"/>
      <c r="AO20" s="1"/>
      <c r="AP20" s="1"/>
    </row>
    <row r="21" spans="1:42" s="5" customFormat="1">
      <c r="A21" s="24" t="s">
        <v>55</v>
      </c>
      <c r="B21" s="7"/>
      <c r="C21" s="7"/>
      <c r="D21" s="6">
        <v>24.9</v>
      </c>
      <c r="E21" s="4">
        <f t="shared" si="0"/>
        <v>101.44500000000001</v>
      </c>
      <c r="F21" s="4">
        <v>26.88</v>
      </c>
      <c r="G21" s="4">
        <f t="shared" si="3"/>
        <v>26.88</v>
      </c>
      <c r="H21" s="15"/>
      <c r="I21" s="16"/>
      <c r="J21" s="15"/>
      <c r="K21" s="16"/>
      <c r="L21" s="15"/>
      <c r="M21" s="16"/>
      <c r="N21" s="15"/>
      <c r="O21" s="16"/>
      <c r="P21" s="13">
        <v>0.9</v>
      </c>
      <c r="Q21" s="14">
        <v>2.1</v>
      </c>
      <c r="R21" s="15"/>
      <c r="S21" s="16"/>
      <c r="T21" s="15"/>
      <c r="U21" s="16"/>
      <c r="V21" s="15"/>
      <c r="W21" s="16"/>
      <c r="X21" s="15"/>
      <c r="Y21" s="16"/>
      <c r="Z21" s="15"/>
      <c r="AA21" s="16"/>
      <c r="AB21" s="15"/>
      <c r="AC21" s="16"/>
      <c r="AD21" s="15"/>
      <c r="AE21" s="16"/>
      <c r="AI21" s="1"/>
      <c r="AJ21" s="1"/>
      <c r="AK21" s="1"/>
      <c r="AL21" s="1"/>
      <c r="AM21" s="1"/>
      <c r="AN21" s="1"/>
      <c r="AO21" s="1"/>
      <c r="AP21" s="1"/>
    </row>
    <row r="22" spans="1:42" s="5" customFormat="1">
      <c r="A22" s="24" t="s">
        <v>56</v>
      </c>
      <c r="B22" s="6">
        <v>2.85</v>
      </c>
      <c r="C22" s="6">
        <v>8.11</v>
      </c>
      <c r="D22" s="6">
        <f t="shared" si="2"/>
        <v>21.919999999999998</v>
      </c>
      <c r="E22" s="4">
        <f t="shared" si="0"/>
        <v>87.608000000000004</v>
      </c>
      <c r="F22" s="4">
        <f t="shared" si="1"/>
        <v>23.113499999999998</v>
      </c>
      <c r="G22" s="4">
        <f t="shared" si="3"/>
        <v>23.113499999999998</v>
      </c>
      <c r="H22" s="15"/>
      <c r="I22" s="16"/>
      <c r="J22" s="15"/>
      <c r="K22" s="16"/>
      <c r="L22" s="15"/>
      <c r="M22" s="16"/>
      <c r="N22" s="15"/>
      <c r="O22" s="16"/>
      <c r="P22" s="13">
        <v>1.6</v>
      </c>
      <c r="Q22" s="14">
        <v>2.1</v>
      </c>
      <c r="R22" s="15"/>
      <c r="S22" s="16"/>
      <c r="T22" s="15"/>
      <c r="U22" s="16"/>
      <c r="V22" s="15"/>
      <c r="W22" s="16"/>
      <c r="X22" s="15"/>
      <c r="Y22" s="16"/>
      <c r="Z22" s="15"/>
      <c r="AA22" s="16"/>
      <c r="AB22" s="15"/>
      <c r="AC22" s="16"/>
      <c r="AD22" s="15"/>
      <c r="AE22" s="16"/>
      <c r="AI22" s="1"/>
      <c r="AJ22" s="1"/>
      <c r="AK22" s="1"/>
      <c r="AL22" s="1"/>
      <c r="AM22" s="1"/>
      <c r="AN22" s="1"/>
      <c r="AO22" s="1"/>
      <c r="AP22" s="1"/>
    </row>
    <row r="23" spans="1:42" s="5" customFormat="1">
      <c r="A23" s="24" t="s">
        <v>5</v>
      </c>
      <c r="B23" s="6">
        <v>2.2000000000000002</v>
      </c>
      <c r="C23" s="6">
        <v>2.1</v>
      </c>
      <c r="D23" s="6">
        <f t="shared" si="2"/>
        <v>8.6000000000000014</v>
      </c>
      <c r="E23" s="4">
        <f t="shared" si="0"/>
        <v>34.010000000000012</v>
      </c>
      <c r="F23" s="4">
        <f t="shared" si="1"/>
        <v>4.620000000000001</v>
      </c>
      <c r="G23" s="4">
        <f t="shared" si="3"/>
        <v>4.620000000000001</v>
      </c>
      <c r="H23" s="15"/>
      <c r="I23" s="16"/>
      <c r="J23" s="15"/>
      <c r="K23" s="16"/>
      <c r="L23" s="15"/>
      <c r="M23" s="16"/>
      <c r="N23" s="15"/>
      <c r="O23" s="16"/>
      <c r="P23" s="13">
        <v>0.8</v>
      </c>
      <c r="Q23" s="14">
        <v>2.1</v>
      </c>
      <c r="R23" s="15"/>
      <c r="S23" s="16"/>
      <c r="T23" s="15"/>
      <c r="U23" s="16"/>
      <c r="V23" s="15"/>
      <c r="W23" s="16"/>
      <c r="X23" s="15"/>
      <c r="Y23" s="16"/>
      <c r="Z23" s="15"/>
      <c r="AA23" s="16"/>
      <c r="AB23" s="15"/>
      <c r="AC23" s="16"/>
      <c r="AD23" s="15"/>
      <c r="AE23" s="16"/>
      <c r="AI23" s="1"/>
      <c r="AJ23" s="1"/>
      <c r="AK23" s="1"/>
      <c r="AL23" s="1"/>
      <c r="AM23" s="1"/>
      <c r="AN23" s="1"/>
      <c r="AO23" s="1"/>
      <c r="AP23" s="1"/>
    </row>
    <row r="24" spans="1:42" s="5" customFormat="1">
      <c r="A24" s="24" t="s">
        <v>57</v>
      </c>
      <c r="B24" s="6">
        <v>8.48</v>
      </c>
      <c r="C24" s="6">
        <v>3.45</v>
      </c>
      <c r="D24" s="6">
        <f t="shared" si="2"/>
        <v>23.86</v>
      </c>
      <c r="E24" s="4">
        <f t="shared" si="0"/>
        <v>97.129000000000005</v>
      </c>
      <c r="F24" s="4">
        <f t="shared" si="1"/>
        <v>29.256000000000004</v>
      </c>
      <c r="G24" s="4">
        <f t="shared" si="3"/>
        <v>29.256000000000004</v>
      </c>
      <c r="H24" s="15"/>
      <c r="I24" s="16"/>
      <c r="J24" s="15"/>
      <c r="K24" s="16"/>
      <c r="L24" s="15"/>
      <c r="M24" s="16"/>
      <c r="N24" s="15"/>
      <c r="O24" s="16"/>
      <c r="P24" s="13">
        <v>0.9</v>
      </c>
      <c r="Q24" s="14">
        <v>2.1</v>
      </c>
      <c r="R24" s="15"/>
      <c r="S24" s="16"/>
      <c r="T24" s="15"/>
      <c r="U24" s="16"/>
      <c r="V24" s="15"/>
      <c r="W24" s="16"/>
      <c r="X24" s="15"/>
      <c r="Y24" s="16"/>
      <c r="Z24" s="15"/>
      <c r="AA24" s="16"/>
      <c r="AB24" s="15"/>
      <c r="AC24" s="16"/>
      <c r="AD24" s="15"/>
      <c r="AE24" s="16"/>
      <c r="AI24" s="1"/>
      <c r="AJ24" s="1"/>
      <c r="AK24" s="1"/>
      <c r="AL24" s="1"/>
      <c r="AM24" s="1"/>
      <c r="AN24" s="1"/>
      <c r="AO24" s="1"/>
      <c r="AP24" s="1"/>
    </row>
    <row r="25" spans="1:42" s="5" customFormat="1">
      <c r="A25" s="32" t="s">
        <v>125</v>
      </c>
      <c r="B25" s="6">
        <v>7.48</v>
      </c>
      <c r="C25" s="6">
        <v>4.4000000000000004</v>
      </c>
      <c r="D25" s="6">
        <f t="shared" si="2"/>
        <v>23.76</v>
      </c>
      <c r="E25" s="4">
        <f t="shared" si="0"/>
        <v>94.194000000000017</v>
      </c>
      <c r="F25" s="7"/>
      <c r="G25" s="7"/>
      <c r="H25" s="15"/>
      <c r="I25" s="16"/>
      <c r="J25" s="15"/>
      <c r="K25" s="16"/>
      <c r="L25" s="15"/>
      <c r="M25" s="16"/>
      <c r="N25" s="15"/>
      <c r="O25" s="16"/>
      <c r="P25" s="13">
        <v>2.1</v>
      </c>
      <c r="Q25" s="14">
        <v>2.1</v>
      </c>
      <c r="R25" s="15"/>
      <c r="S25" s="16"/>
      <c r="T25" s="15"/>
      <c r="U25" s="16"/>
      <c r="V25" s="15"/>
      <c r="W25" s="16"/>
      <c r="X25" s="15"/>
      <c r="Y25" s="16"/>
      <c r="Z25" s="15"/>
      <c r="AA25" s="16"/>
      <c r="AB25" s="15"/>
      <c r="AC25" s="16"/>
      <c r="AD25" s="15"/>
      <c r="AE25" s="16"/>
      <c r="AI25" s="1"/>
      <c r="AJ25" s="1"/>
      <c r="AK25" s="1"/>
      <c r="AL25" s="1"/>
      <c r="AM25" s="1"/>
      <c r="AN25" s="1"/>
      <c r="AO25" s="1"/>
      <c r="AP25" s="1"/>
    </row>
    <row r="26" spans="1:42" s="5" customFormat="1">
      <c r="A26" s="24" t="s">
        <v>58</v>
      </c>
      <c r="B26" s="6">
        <v>0.85</v>
      </c>
      <c r="C26" s="6">
        <v>2.0499999999999998</v>
      </c>
      <c r="D26" s="6">
        <f t="shared" si="2"/>
        <v>5.8</v>
      </c>
      <c r="E26" s="4">
        <f t="shared" si="0"/>
        <v>24.07</v>
      </c>
      <c r="F26" s="7"/>
      <c r="G26" s="7"/>
      <c r="H26" s="15"/>
      <c r="I26" s="16"/>
      <c r="J26" s="15"/>
      <c r="K26" s="16"/>
      <c r="L26" s="15"/>
      <c r="M26" s="16"/>
      <c r="N26" s="15"/>
      <c r="O26" s="16"/>
      <c r="P26" s="15"/>
      <c r="Q26" s="16"/>
      <c r="R26" s="15"/>
      <c r="S26" s="16"/>
      <c r="T26" s="15"/>
      <c r="U26" s="16"/>
      <c r="V26" s="15"/>
      <c r="W26" s="16"/>
      <c r="X26" s="15"/>
      <c r="Y26" s="16"/>
      <c r="Z26" s="15"/>
      <c r="AA26" s="16"/>
      <c r="AB26" s="15"/>
      <c r="AC26" s="16"/>
      <c r="AD26" s="15"/>
      <c r="AE26" s="16"/>
      <c r="AI26" s="1"/>
      <c r="AJ26" s="1"/>
      <c r="AK26" s="1"/>
      <c r="AL26" s="1"/>
      <c r="AM26" s="1"/>
      <c r="AN26" s="1"/>
      <c r="AO26" s="1"/>
      <c r="AP26" s="1"/>
    </row>
    <row r="27" spans="1:42" s="5" customFormat="1">
      <c r="A27" s="26" t="s">
        <v>63</v>
      </c>
      <c r="B27" s="6">
        <v>4.47</v>
      </c>
      <c r="C27" s="6">
        <v>3.5</v>
      </c>
      <c r="D27" s="6">
        <f t="shared" si="2"/>
        <v>15.94</v>
      </c>
      <c r="E27" s="4">
        <f t="shared" si="0"/>
        <v>63.631000000000007</v>
      </c>
      <c r="F27" s="4">
        <f t="shared" ref="F27" si="4">B27*C27</f>
        <v>15.645</v>
      </c>
      <c r="G27" s="4">
        <f>F27</f>
        <v>15.645</v>
      </c>
      <c r="H27" s="15"/>
      <c r="I27" s="16"/>
      <c r="J27" s="15"/>
      <c r="K27" s="16"/>
      <c r="L27" s="15"/>
      <c r="M27" s="16"/>
      <c r="N27" s="15"/>
      <c r="O27" s="16"/>
      <c r="P27" s="13">
        <v>1.2</v>
      </c>
      <c r="Q27" s="14">
        <v>2.1</v>
      </c>
      <c r="R27" s="15"/>
      <c r="S27" s="16"/>
      <c r="T27" s="15"/>
      <c r="U27" s="16"/>
      <c r="V27" s="15"/>
      <c r="W27" s="16"/>
      <c r="X27" s="15"/>
      <c r="Y27" s="16"/>
      <c r="Z27" s="15"/>
      <c r="AA27" s="16"/>
      <c r="AB27" s="15"/>
      <c r="AC27" s="16"/>
      <c r="AD27" s="15"/>
      <c r="AE27" s="16"/>
      <c r="AI27" s="1"/>
      <c r="AJ27" s="1"/>
      <c r="AK27" s="1"/>
      <c r="AL27" s="1"/>
      <c r="AM27" s="1"/>
      <c r="AN27" s="1"/>
      <c r="AO27" s="1"/>
      <c r="AP27" s="1"/>
    </row>
    <row r="29" spans="1:42" s="5" customFormat="1">
      <c r="A29" s="12" t="s">
        <v>25</v>
      </c>
      <c r="B29" s="7"/>
      <c r="C29" s="7"/>
      <c r="D29" s="6">
        <v>168.22</v>
      </c>
      <c r="E29" s="4">
        <f>(D29*$A$2)-((H29*I29)+(J29*K29)+(L29*M29)+(N29*O29)+(P29*Q29)+(R29*S29)+(T29*U29)+(V29*W29)+(X29*Y29)+(Z29*AA29)+(AB29*AC29)+(AD29*AE29))</f>
        <v>616.05300000000011</v>
      </c>
      <c r="F29" s="7"/>
      <c r="G29" s="7"/>
      <c r="H29" s="13">
        <v>13.9</v>
      </c>
      <c r="I29" s="14">
        <v>1</v>
      </c>
      <c r="J29" s="13">
        <v>3.35</v>
      </c>
      <c r="K29" s="14">
        <v>1</v>
      </c>
      <c r="L29" s="13">
        <v>11.55</v>
      </c>
      <c r="M29" s="14">
        <v>1</v>
      </c>
      <c r="N29" s="13">
        <v>4.1500000000000004</v>
      </c>
      <c r="O29" s="14">
        <v>1</v>
      </c>
      <c r="P29" s="13">
        <v>2.1</v>
      </c>
      <c r="Q29" s="14">
        <v>2.1</v>
      </c>
      <c r="R29" s="13">
        <v>2.1</v>
      </c>
      <c r="S29" s="14">
        <v>2.1</v>
      </c>
      <c r="T29" s="13">
        <v>7.7</v>
      </c>
      <c r="U29" s="14">
        <v>3.5</v>
      </c>
      <c r="V29" s="13">
        <v>5.8</v>
      </c>
      <c r="W29" s="14">
        <v>2.2999999999999998</v>
      </c>
      <c r="X29" s="15"/>
      <c r="Y29" s="16"/>
      <c r="Z29" s="15"/>
      <c r="AA29" s="16"/>
      <c r="AB29" s="15"/>
      <c r="AC29" s="16"/>
      <c r="AD29" s="15"/>
      <c r="AE29" s="16"/>
    </row>
    <row r="30" spans="1:42" s="5" customFormat="1">
      <c r="A30" s="12" t="s">
        <v>26</v>
      </c>
      <c r="B30" s="7"/>
      <c r="C30" s="7"/>
      <c r="D30" s="7"/>
      <c r="E30" s="7"/>
      <c r="F30" s="7"/>
      <c r="G30" s="7"/>
      <c r="H30" s="15"/>
      <c r="I30" s="16"/>
      <c r="J30" s="15"/>
      <c r="K30" s="16"/>
      <c r="L30" s="15"/>
      <c r="M30" s="16"/>
      <c r="N30" s="15"/>
      <c r="O30" s="16"/>
      <c r="P30" s="15"/>
      <c r="Q30" s="16"/>
      <c r="R30" s="15"/>
      <c r="S30" s="16"/>
      <c r="T30" s="15"/>
      <c r="U30" s="16"/>
      <c r="V30" s="15"/>
      <c r="W30" s="16"/>
      <c r="X30" s="15"/>
      <c r="Y30" s="16"/>
      <c r="Z30" s="15"/>
      <c r="AA30" s="16"/>
      <c r="AB30" s="15"/>
      <c r="AC30" s="16"/>
      <c r="AD30" s="15"/>
      <c r="AE30" s="16"/>
    </row>
    <row r="34" spans="5:5">
      <c r="E34" s="22"/>
    </row>
  </sheetData>
  <mergeCells count="13">
    <mergeCell ref="AB2:AC2"/>
    <mergeCell ref="AD2:AE2"/>
    <mergeCell ref="H1:AE1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FF00"/>
  </sheetPr>
  <dimension ref="A1:F23"/>
  <sheetViews>
    <sheetView zoomScale="85" zoomScaleNormal="85" workbookViewId="0">
      <selection activeCell="B18" sqref="B18:C19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6">
      <c r="A1" s="50" t="s">
        <v>250</v>
      </c>
      <c r="B1" s="50"/>
      <c r="C1" s="50"/>
    </row>
    <row r="2" spans="1:6">
      <c r="A2" s="33" t="s">
        <v>237</v>
      </c>
      <c r="B2" s="53">
        <f>[1]Reb_Par!$B$51:$C$51</f>
        <v>2377.2850000000003</v>
      </c>
      <c r="C2" s="54"/>
      <c r="F2" s="5" t="s">
        <v>338</v>
      </c>
    </row>
    <row r="3" spans="1:6">
      <c r="A3" s="33" t="s">
        <v>238</v>
      </c>
      <c r="B3" s="53">
        <f>[2]Reb_Par!$B$51:$C$51</f>
        <v>2935.4554999999991</v>
      </c>
      <c r="C3" s="54"/>
      <c r="F3" s="5" t="s">
        <v>339</v>
      </c>
    </row>
    <row r="4" spans="1:6">
      <c r="A4" s="33" t="s">
        <v>239</v>
      </c>
      <c r="B4" s="53">
        <f>[3]Reb_Par!$B$51:$C$51</f>
        <v>2289.3824999999997</v>
      </c>
      <c r="C4" s="54"/>
      <c r="F4" s="5" t="s">
        <v>340</v>
      </c>
    </row>
    <row r="5" spans="1:6">
      <c r="A5" s="33" t="s">
        <v>240</v>
      </c>
      <c r="B5" s="53">
        <f>[4]Reb_Par!$B$51:$C$51</f>
        <v>1656.9739999999997</v>
      </c>
      <c r="C5" s="54"/>
      <c r="F5" s="5" t="s">
        <v>341</v>
      </c>
    </row>
    <row r="6" spans="1:6">
      <c r="A6" s="33" t="s">
        <v>241</v>
      </c>
      <c r="B6" s="53">
        <f>[5]Reb_Par!$B$51:$C$51</f>
        <v>1733.0160000000001</v>
      </c>
      <c r="C6" s="54"/>
      <c r="F6" s="5" t="s">
        <v>341</v>
      </c>
    </row>
    <row r="7" spans="1:6">
      <c r="A7" s="33" t="s">
        <v>242</v>
      </c>
      <c r="B7" s="55">
        <f>[6]Reb_Par!$B$51:$C$51</f>
        <v>895.94749999999999</v>
      </c>
      <c r="C7" s="56"/>
      <c r="F7" s="5" t="s">
        <v>342</v>
      </c>
    </row>
    <row r="9" spans="1:6">
      <c r="A9" s="34" t="s">
        <v>27</v>
      </c>
      <c r="B9" s="53">
        <f>SUM(B2:C7)</f>
        <v>11888.0605</v>
      </c>
      <c r="C9" s="54"/>
    </row>
    <row r="10" spans="1:6">
      <c r="A10" s="5" t="s">
        <v>302</v>
      </c>
    </row>
    <row r="14" spans="1:6" ht="30" customHeight="1">
      <c r="A14" s="63" t="s">
        <v>251</v>
      </c>
      <c r="B14" s="64"/>
      <c r="C14" s="65"/>
    </row>
    <row r="15" spans="1:6">
      <c r="A15" s="33" t="s">
        <v>237</v>
      </c>
      <c r="B15" s="55">
        <f>[1]Reb_Par!$B$61:$C$61</f>
        <v>0</v>
      </c>
      <c r="C15" s="56"/>
    </row>
    <row r="16" spans="1:6">
      <c r="A16" s="33" t="s">
        <v>238</v>
      </c>
      <c r="B16" s="55">
        <f>[2]Reb_Par!$B$61:$C$61</f>
        <v>47.139999999999993</v>
      </c>
      <c r="C16" s="56"/>
    </row>
    <row r="17" spans="1:3">
      <c r="A17" s="33" t="s">
        <v>239</v>
      </c>
      <c r="B17" s="55">
        <f>[3]Reb_Par!$B$61:$C$61</f>
        <v>0</v>
      </c>
      <c r="C17" s="56"/>
    </row>
    <row r="18" spans="1:3">
      <c r="A18" s="33" t="s">
        <v>240</v>
      </c>
      <c r="B18" s="55">
        <f>[4]Reb_Par!$B$61:$C$61</f>
        <v>0</v>
      </c>
      <c r="C18" s="56"/>
    </row>
    <row r="19" spans="1:3">
      <c r="A19" s="33" t="s">
        <v>241</v>
      </c>
      <c r="B19" s="55">
        <f>[5]Reb_Par!$B$61:$C$61</f>
        <v>0</v>
      </c>
      <c r="C19" s="56"/>
    </row>
    <row r="20" spans="1:3">
      <c r="A20" s="33" t="s">
        <v>242</v>
      </c>
      <c r="B20" s="55">
        <f>[6]Reb_Par!$B$61:$C$61</f>
        <v>0</v>
      </c>
      <c r="C20" s="56"/>
    </row>
    <row r="22" spans="1:3">
      <c r="A22" s="34" t="s">
        <v>27</v>
      </c>
      <c r="B22" s="55">
        <f>SUM(B15:C20)</f>
        <v>47.139999999999993</v>
      </c>
      <c r="C22" s="56"/>
    </row>
    <row r="23" spans="1:3">
      <c r="A23" s="5" t="s">
        <v>303</v>
      </c>
    </row>
  </sheetData>
  <mergeCells count="16">
    <mergeCell ref="A1:C1"/>
    <mergeCell ref="A14:C14"/>
    <mergeCell ref="B7:C7"/>
    <mergeCell ref="B15:C15"/>
    <mergeCell ref="B16:C16"/>
    <mergeCell ref="B2:C2"/>
    <mergeCell ref="B3:C3"/>
    <mergeCell ref="B4:C4"/>
    <mergeCell ref="B5:C5"/>
    <mergeCell ref="B6:C6"/>
    <mergeCell ref="B19:C19"/>
    <mergeCell ref="B20:C20"/>
    <mergeCell ref="B9:C9"/>
    <mergeCell ref="B22:C22"/>
    <mergeCell ref="B17:C17"/>
    <mergeCell ref="B18:C18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workbookViewId="0">
      <selection activeCell="B5" sqref="B5:C6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3">
      <c r="A1" s="50" t="s">
        <v>252</v>
      </c>
      <c r="B1" s="50"/>
      <c r="C1" s="50"/>
    </row>
    <row r="2" spans="1:3">
      <c r="A2" s="33" t="s">
        <v>237</v>
      </c>
      <c r="B2" s="55">
        <f>[1]Embç_Par!$B$24:$C$24</f>
        <v>553.56700000000001</v>
      </c>
      <c r="C2" s="56"/>
    </row>
    <row r="3" spans="1:3">
      <c r="A3" s="33" t="s">
        <v>238</v>
      </c>
      <c r="B3" s="55">
        <f>[2]Embç_Par!$B$24:$C$24</f>
        <v>570.29099999999994</v>
      </c>
      <c r="C3" s="56"/>
    </row>
    <row r="4" spans="1:3">
      <c r="A4" s="33" t="s">
        <v>239</v>
      </c>
      <c r="B4" s="55">
        <f>[3]Embç_Par!$B$24:$C$24</f>
        <v>600.59399999999994</v>
      </c>
      <c r="C4" s="56"/>
    </row>
    <row r="5" spans="1:3">
      <c r="A5" s="33" t="s">
        <v>240</v>
      </c>
      <c r="B5" s="55">
        <f>[4]Embç_Par!$B$24:$C$24</f>
        <v>162.85499999999996</v>
      </c>
      <c r="C5" s="56"/>
    </row>
    <row r="6" spans="1:3">
      <c r="A6" s="33" t="s">
        <v>241</v>
      </c>
      <c r="B6" s="55">
        <f>[5]Embç_Par!$B$24:$C$24</f>
        <v>162.85499999999996</v>
      </c>
      <c r="C6" s="56"/>
    </row>
    <row r="7" spans="1:3">
      <c r="A7" s="33" t="s">
        <v>242</v>
      </c>
      <c r="B7" s="55">
        <f>[6]Embç_Par!$B$24:$C$24</f>
        <v>59.662500000000001</v>
      </c>
      <c r="C7" s="56"/>
    </row>
    <row r="9" spans="1:3">
      <c r="A9" s="34" t="s">
        <v>27</v>
      </c>
      <c r="B9" s="53">
        <f>SUM(B2:C7)</f>
        <v>2109.8244999999997</v>
      </c>
      <c r="C9" s="54"/>
    </row>
    <row r="10" spans="1:3">
      <c r="A10" s="5" t="s">
        <v>304</v>
      </c>
    </row>
  </sheetData>
  <mergeCells count="8">
    <mergeCell ref="B9:C9"/>
    <mergeCell ref="B6:C6"/>
    <mergeCell ref="B7:C7"/>
    <mergeCell ref="A1:C1"/>
    <mergeCell ref="B2:C2"/>
    <mergeCell ref="B3:C3"/>
    <mergeCell ref="B4:C4"/>
    <mergeCell ref="B5:C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workbookViewId="0">
      <selection activeCell="B5" sqref="B5:C6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3">
      <c r="A1" s="50" t="s">
        <v>253</v>
      </c>
      <c r="B1" s="50"/>
      <c r="C1" s="50"/>
    </row>
    <row r="2" spans="1:3">
      <c r="A2" s="34" t="s">
        <v>237</v>
      </c>
      <c r="B2" s="55">
        <f>[1]Cerâm_Par!$B$23:$C$23</f>
        <v>420.36700000000008</v>
      </c>
      <c r="C2" s="56"/>
    </row>
    <row r="3" spans="1:3">
      <c r="A3" s="34" t="s">
        <v>238</v>
      </c>
      <c r="B3" s="55">
        <f>[2]Cerâm_Par!$B$23:$C$23</f>
        <v>472.41599999999994</v>
      </c>
      <c r="C3" s="56"/>
    </row>
    <row r="4" spans="1:3">
      <c r="A4" s="34" t="s">
        <v>239</v>
      </c>
      <c r="B4" s="55">
        <f>[3]Cerâm_Par!$B$23:$C$23</f>
        <v>502.71899999999994</v>
      </c>
      <c r="C4" s="56"/>
    </row>
    <row r="5" spans="1:3">
      <c r="A5" s="34" t="s">
        <v>240</v>
      </c>
      <c r="B5" s="55">
        <f>[4]Cerâm_Par!$B$23:$C$23</f>
        <v>64.97999999999999</v>
      </c>
      <c r="C5" s="56"/>
    </row>
    <row r="6" spans="1:3">
      <c r="A6" s="34" t="s">
        <v>241</v>
      </c>
      <c r="B6" s="55">
        <f>[5]Cerâm_Par!$B$23:$C$23</f>
        <v>64.97999999999999</v>
      </c>
      <c r="C6" s="56"/>
    </row>
    <row r="7" spans="1:3">
      <c r="A7" s="34" t="s">
        <v>242</v>
      </c>
      <c r="B7" s="55">
        <f>[6]Cerâm_Par!$B$23:$C$23</f>
        <v>0</v>
      </c>
      <c r="C7" s="56"/>
    </row>
    <row r="9" spans="1:3">
      <c r="A9" s="34" t="s">
        <v>27</v>
      </c>
      <c r="B9" s="53">
        <f>SUM(B2:C7)</f>
        <v>1525.462</v>
      </c>
      <c r="C9" s="54"/>
    </row>
    <row r="10" spans="1:3">
      <c r="A10" s="5" t="s">
        <v>305</v>
      </c>
    </row>
  </sheetData>
  <mergeCells count="8">
    <mergeCell ref="B6:C6"/>
    <mergeCell ref="B7:C7"/>
    <mergeCell ref="B9:C9"/>
    <mergeCell ref="A1:C1"/>
    <mergeCell ref="B2:C2"/>
    <mergeCell ref="B3:C3"/>
    <mergeCell ref="B4:C4"/>
    <mergeCell ref="B5:C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workbookViewId="0">
      <selection activeCell="B5" sqref="B5:C6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3">
      <c r="A1" s="50" t="s">
        <v>254</v>
      </c>
      <c r="B1" s="50"/>
      <c r="C1" s="50"/>
    </row>
    <row r="2" spans="1:3">
      <c r="A2" s="34" t="s">
        <v>237</v>
      </c>
      <c r="B2" s="55">
        <f>[1]Selad_Par!$B$11:$C$11</f>
        <v>541.73</v>
      </c>
      <c r="C2" s="56"/>
    </row>
    <row r="3" spans="1:3">
      <c r="A3" s="34" t="s">
        <v>238</v>
      </c>
      <c r="B3" s="55">
        <f>[2]Selad_Par!$B$11:$C$11</f>
        <v>425.47</v>
      </c>
      <c r="C3" s="56"/>
    </row>
    <row r="4" spans="1:3">
      <c r="A4" s="34" t="s">
        <v>239</v>
      </c>
      <c r="B4" s="55">
        <f>[3]Selad_Par!$B$11:$C$11</f>
        <v>411.88249999999994</v>
      </c>
      <c r="C4" s="56"/>
    </row>
    <row r="5" spans="1:3">
      <c r="A5" s="34" t="s">
        <v>240</v>
      </c>
      <c r="B5" s="55">
        <f>[4]Selad_Par!$B$11:$C$11</f>
        <v>465.65</v>
      </c>
      <c r="C5" s="56"/>
    </row>
    <row r="6" spans="1:3">
      <c r="A6" s="34" t="s">
        <v>241</v>
      </c>
      <c r="B6" s="55">
        <f>[5]Selad_Par!$B$11:$C$11</f>
        <v>465.65</v>
      </c>
      <c r="C6" s="56"/>
    </row>
    <row r="7" spans="1:3">
      <c r="A7" s="34" t="s">
        <v>242</v>
      </c>
      <c r="B7" s="55">
        <f>[6]Selad_Par!$B$11:$C$11</f>
        <v>577.39549999999997</v>
      </c>
      <c r="C7" s="56"/>
    </row>
    <row r="9" spans="1:3">
      <c r="A9" s="34" t="s">
        <v>27</v>
      </c>
      <c r="B9" s="53">
        <f>SUM(B2:C7)</f>
        <v>2887.7780000000002</v>
      </c>
      <c r="C9" s="54"/>
    </row>
    <row r="10" spans="1:3">
      <c r="A10" s="5" t="s">
        <v>189</v>
      </c>
    </row>
  </sheetData>
  <mergeCells count="8">
    <mergeCell ref="B6:C6"/>
    <mergeCell ref="B7:C7"/>
    <mergeCell ref="B9:C9"/>
    <mergeCell ref="A1:C1"/>
    <mergeCell ref="B2:C2"/>
    <mergeCell ref="B3:C3"/>
    <mergeCell ref="B4:C4"/>
    <mergeCell ref="B5:C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workbookViewId="0">
      <selection activeCell="B5" sqref="B5:C6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3">
      <c r="A1" s="50" t="s">
        <v>255</v>
      </c>
      <c r="B1" s="50"/>
      <c r="C1" s="50"/>
    </row>
    <row r="2" spans="1:3">
      <c r="A2" s="34" t="s">
        <v>237</v>
      </c>
      <c r="B2" s="53">
        <f>[1]Emass_Par!$B$41:$C$41</f>
        <v>1639.789</v>
      </c>
      <c r="C2" s="54"/>
    </row>
    <row r="3" spans="1:3">
      <c r="A3" s="34" t="s">
        <v>238</v>
      </c>
      <c r="B3" s="53">
        <f>[2]Emass_Par!$B$41:$C$41</f>
        <v>2366.6884999999993</v>
      </c>
      <c r="C3" s="54"/>
    </row>
    <row r="4" spans="1:3">
      <c r="A4" s="34" t="s">
        <v>239</v>
      </c>
      <c r="B4" s="53">
        <f>[3]Emass_Par!$B$41:$C$41</f>
        <v>1713.923</v>
      </c>
      <c r="C4" s="54"/>
    </row>
    <row r="5" spans="1:3">
      <c r="A5" s="34" t="s">
        <v>240</v>
      </c>
      <c r="B5" s="55">
        <f>[4]Emass_Par!$B$41:$C$41</f>
        <v>353.36899999999997</v>
      </c>
      <c r="C5" s="56"/>
    </row>
    <row r="6" spans="1:3">
      <c r="A6" s="34" t="s">
        <v>241</v>
      </c>
      <c r="B6" s="55">
        <f>[5]Emass_Par!$B$41:$C$41</f>
        <v>414.255</v>
      </c>
      <c r="C6" s="56"/>
    </row>
    <row r="7" spans="1:3">
      <c r="A7" s="34" t="s">
        <v>242</v>
      </c>
      <c r="B7" s="55">
        <f>[6]Emass_Par!$B$41:$C$41</f>
        <v>121.80400000000002</v>
      </c>
      <c r="C7" s="56"/>
    </row>
    <row r="9" spans="1:3">
      <c r="A9" s="34" t="s">
        <v>27</v>
      </c>
      <c r="B9" s="53">
        <f>SUM(B2:C7)</f>
        <v>6609.8284999999987</v>
      </c>
      <c r="C9" s="54"/>
    </row>
    <row r="10" spans="1:3">
      <c r="A10" s="5" t="s">
        <v>186</v>
      </c>
    </row>
  </sheetData>
  <mergeCells count="8">
    <mergeCell ref="B6:C6"/>
    <mergeCell ref="B7:C7"/>
    <mergeCell ref="B9:C9"/>
    <mergeCell ref="A1:C1"/>
    <mergeCell ref="B2:C2"/>
    <mergeCell ref="B3:C3"/>
    <mergeCell ref="B4:C4"/>
    <mergeCell ref="B5:C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workbookViewId="0">
      <selection activeCell="B5" sqref="B5:C6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3">
      <c r="A1" s="50" t="s">
        <v>256</v>
      </c>
      <c r="B1" s="50"/>
      <c r="C1" s="50"/>
    </row>
    <row r="2" spans="1:3">
      <c r="A2" s="34" t="s">
        <v>237</v>
      </c>
      <c r="B2" s="55">
        <f>[1]Pint_Epox_Par!$B$36:$C$36</f>
        <v>146.00700000000001</v>
      </c>
      <c r="C2" s="56"/>
    </row>
    <row r="3" spans="1:3">
      <c r="A3" s="34" t="s">
        <v>238</v>
      </c>
      <c r="B3" s="55">
        <f>[2]Pint_Epox_Par!$B$36:$C$36</f>
        <v>681.64599999999996</v>
      </c>
      <c r="C3" s="56"/>
    </row>
    <row r="4" spans="1:3">
      <c r="A4" s="34" t="s">
        <v>239</v>
      </c>
      <c r="B4" s="55">
        <f>[3]Pint_Epox_Par!$B$36:$C$36</f>
        <v>596.75900000000001</v>
      </c>
      <c r="C4" s="56"/>
    </row>
    <row r="5" spans="1:3">
      <c r="A5" s="34" t="s">
        <v>240</v>
      </c>
      <c r="B5" s="55">
        <f>[4]Pint_Epox_Par!$B$36:$C$36</f>
        <v>54.039999999999992</v>
      </c>
      <c r="C5" s="56"/>
    </row>
    <row r="6" spans="1:3">
      <c r="A6" s="34" t="s">
        <v>241</v>
      </c>
      <c r="B6" s="55">
        <f>[5]Pint_Epox_Par!$B$36:$C$36</f>
        <v>57.12</v>
      </c>
      <c r="C6" s="56"/>
    </row>
    <row r="7" spans="1:3">
      <c r="A7" s="34" t="s">
        <v>242</v>
      </c>
      <c r="B7" s="55">
        <f>[6]Pint_Epox_Par!$B$36:$C$36</f>
        <v>0</v>
      </c>
      <c r="C7" s="56"/>
    </row>
    <row r="8" spans="1:3">
      <c r="B8" s="22"/>
      <c r="C8" s="22"/>
    </row>
    <row r="9" spans="1:3">
      <c r="A9" s="34" t="s">
        <v>27</v>
      </c>
      <c r="B9" s="53">
        <f>SUM(B2:C7)</f>
        <v>1535.5719999999999</v>
      </c>
      <c r="C9" s="54"/>
    </row>
    <row r="10" spans="1:3">
      <c r="A10" s="5" t="s">
        <v>308</v>
      </c>
    </row>
  </sheetData>
  <mergeCells count="8">
    <mergeCell ref="B6:C6"/>
    <mergeCell ref="B7:C7"/>
    <mergeCell ref="B9:C9"/>
    <mergeCell ref="A1:C1"/>
    <mergeCell ref="B2:C2"/>
    <mergeCell ref="B3:C3"/>
    <mergeCell ref="B4:C4"/>
    <mergeCell ref="B5:C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workbookViewId="0">
      <pane ySplit="1" topLeftCell="A2" activePane="bottomLeft" state="frozenSplit"/>
      <selection pane="bottomLeft" activeCell="C8" sqref="C8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3">
      <c r="A1" s="50" t="s">
        <v>257</v>
      </c>
      <c r="B1" s="50"/>
      <c r="C1" s="50"/>
    </row>
    <row r="2" spans="1:3">
      <c r="A2" s="34" t="s">
        <v>237</v>
      </c>
      <c r="B2" s="59">
        <f>[1]Pint_Epox_Demarc!$B$6:$C$6</f>
        <v>328.59999999999997</v>
      </c>
      <c r="C2" s="60"/>
    </row>
    <row r="3" spans="1:3">
      <c r="A3" s="34" t="s">
        <v>238</v>
      </c>
      <c r="B3" s="59">
        <f>[2]Pint_Epox_Demarc!$B$6:$C$6</f>
        <v>0</v>
      </c>
      <c r="C3" s="60"/>
    </row>
    <row r="4" spans="1:3">
      <c r="A4" s="34" t="s">
        <v>239</v>
      </c>
      <c r="B4" s="59">
        <f>[3]Pint_Epox_Demarc!$B$6:$C$6</f>
        <v>0</v>
      </c>
      <c r="C4" s="60"/>
    </row>
    <row r="5" spans="1:3">
      <c r="A5" s="34" t="s">
        <v>240</v>
      </c>
      <c r="B5" s="59">
        <f>[4]Pint_Epox_Demarc!$B$6:$C$6</f>
        <v>0</v>
      </c>
      <c r="C5" s="60"/>
    </row>
    <row r="6" spans="1:3">
      <c r="A6" s="34" t="s">
        <v>241</v>
      </c>
      <c r="B6" s="59">
        <f>[5]Pint_Epox_Demarc!$B$6:$C$6</f>
        <v>0</v>
      </c>
      <c r="C6" s="60"/>
    </row>
    <row r="7" spans="1:3">
      <c r="A7" s="34" t="s">
        <v>242</v>
      </c>
      <c r="B7" s="59">
        <f>[6]Pint_Epox_Demarc!$B$6:$C$6</f>
        <v>0</v>
      </c>
      <c r="C7" s="60"/>
    </row>
    <row r="8" spans="1:3">
      <c r="B8" s="35"/>
      <c r="C8" s="35"/>
    </row>
    <row r="9" spans="1:3">
      <c r="A9" s="34" t="s">
        <v>27</v>
      </c>
      <c r="B9" s="59">
        <f>SUM(B2:C7)</f>
        <v>328.59999999999997</v>
      </c>
      <c r="C9" s="60"/>
    </row>
    <row r="10" spans="1:3">
      <c r="A10" s="5" t="s">
        <v>188</v>
      </c>
    </row>
  </sheetData>
  <mergeCells count="8">
    <mergeCell ref="B5:C5"/>
    <mergeCell ref="B6:C6"/>
    <mergeCell ref="B7:C7"/>
    <mergeCell ref="B9:C9"/>
    <mergeCell ref="A1:C1"/>
    <mergeCell ref="B2:C2"/>
    <mergeCell ref="B3:C3"/>
    <mergeCell ref="B4:C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workbookViewId="0">
      <selection activeCell="B5" sqref="B5:C6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3">
      <c r="A1" s="50" t="s">
        <v>258</v>
      </c>
      <c r="B1" s="50"/>
      <c r="C1" s="50"/>
    </row>
    <row r="2" spans="1:3">
      <c r="A2" s="34" t="s">
        <v>237</v>
      </c>
      <c r="B2" s="53">
        <f>[1]Pint_Acr_Par!$B$55:$C$55</f>
        <v>2035.5119999999999</v>
      </c>
      <c r="C2" s="54"/>
    </row>
    <row r="3" spans="1:3">
      <c r="A3" s="34" t="s">
        <v>238</v>
      </c>
      <c r="B3" s="53">
        <f>[2]Pint_Acr_Par!$B$55:$C$55</f>
        <v>2110.5124999999998</v>
      </c>
      <c r="C3" s="54"/>
    </row>
    <row r="4" spans="1:3">
      <c r="A4" s="34" t="s">
        <v>239</v>
      </c>
      <c r="B4" s="53">
        <f>[3]Pint_Acr_Par!$B$55:$C$55</f>
        <v>1529.0464999999999</v>
      </c>
      <c r="C4" s="54"/>
    </row>
    <row r="5" spans="1:3">
      <c r="A5" s="34" t="s">
        <v>240</v>
      </c>
      <c r="B5" s="55">
        <f>[4]Pint_Acr_Par!$B$55:$C$55</f>
        <v>764.97900000000004</v>
      </c>
      <c r="C5" s="56"/>
    </row>
    <row r="6" spans="1:3">
      <c r="A6" s="34" t="s">
        <v>241</v>
      </c>
      <c r="B6" s="55">
        <f>[5]Pint_Acr_Par!$B$55:$C$55</f>
        <v>822.78499999999997</v>
      </c>
      <c r="C6" s="56"/>
    </row>
    <row r="7" spans="1:3">
      <c r="A7" s="34" t="s">
        <v>242</v>
      </c>
      <c r="B7" s="55">
        <f>[6]Pint_Acr_Par!$B$55:$C$55</f>
        <v>699.19949999999994</v>
      </c>
      <c r="C7" s="56"/>
    </row>
    <row r="8" spans="1:3">
      <c r="B8" s="36"/>
      <c r="C8" s="36"/>
    </row>
    <row r="9" spans="1:3">
      <c r="A9" s="34" t="s">
        <v>27</v>
      </c>
      <c r="B9" s="53">
        <f>SUM(B2:C7)</f>
        <v>7962.0344999999998</v>
      </c>
      <c r="C9" s="54"/>
    </row>
    <row r="10" spans="1:3">
      <c r="A10" s="5" t="s">
        <v>187</v>
      </c>
    </row>
  </sheetData>
  <mergeCells count="8">
    <mergeCell ref="B6:C6"/>
    <mergeCell ref="B7:C7"/>
    <mergeCell ref="B9:C9"/>
    <mergeCell ref="A1:C1"/>
    <mergeCell ref="B2:C2"/>
    <mergeCell ref="B3:C3"/>
    <mergeCell ref="B4:C4"/>
    <mergeCell ref="B5:C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workbookViewId="0">
      <pane ySplit="1" topLeftCell="A2" activePane="bottomLeft" state="frozenSplit"/>
      <selection pane="bottomLeft" activeCell="B5" sqref="B5:C6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3">
      <c r="A1" s="50" t="s">
        <v>259</v>
      </c>
      <c r="B1" s="50"/>
      <c r="C1" s="50"/>
    </row>
    <row r="2" spans="1:3">
      <c r="A2" s="34" t="s">
        <v>237</v>
      </c>
      <c r="B2" s="55">
        <f>[1]Chap_Tet!$B$11:$C$11</f>
        <v>69.981999999999999</v>
      </c>
      <c r="C2" s="56"/>
    </row>
    <row r="3" spans="1:3">
      <c r="A3" s="34" t="s">
        <v>238</v>
      </c>
      <c r="B3" s="55">
        <f>[2]Chap_Tet!$B$11:$C$11</f>
        <v>153.80199999999999</v>
      </c>
      <c r="C3" s="56"/>
    </row>
    <row r="4" spans="1:3">
      <c r="A4" s="34" t="s">
        <v>239</v>
      </c>
      <c r="B4" s="55">
        <f>[3]Chap_Tet!$B$11:$C$11</f>
        <v>183.94</v>
      </c>
      <c r="C4" s="56"/>
    </row>
    <row r="5" spans="1:3">
      <c r="A5" s="34" t="s">
        <v>240</v>
      </c>
      <c r="B5" s="55">
        <f>[4]Chap_Tet!$B$11:$C$11</f>
        <v>183.94</v>
      </c>
      <c r="C5" s="56"/>
    </row>
    <row r="6" spans="1:3">
      <c r="A6" s="34" t="s">
        <v>241</v>
      </c>
      <c r="B6" s="55">
        <f>[5]Chap_Tet!$B$11:$C$11</f>
        <v>183.94</v>
      </c>
      <c r="C6" s="56"/>
    </row>
    <row r="7" spans="1:3">
      <c r="A7" s="34" t="s">
        <v>242</v>
      </c>
      <c r="B7" s="55">
        <f>[6]Chap_Tet!$B$11:$C$11</f>
        <v>116.7295</v>
      </c>
      <c r="C7" s="56"/>
    </row>
    <row r="8" spans="1:3">
      <c r="B8" s="22"/>
      <c r="C8" s="22"/>
    </row>
    <row r="9" spans="1:3">
      <c r="A9" s="34" t="s">
        <v>27</v>
      </c>
      <c r="B9" s="55">
        <f>SUM(B2:C7)</f>
        <v>892.33350000000007</v>
      </c>
      <c r="C9" s="56"/>
    </row>
    <row r="10" spans="1:3">
      <c r="A10" s="5" t="s">
        <v>309</v>
      </c>
    </row>
  </sheetData>
  <mergeCells count="8">
    <mergeCell ref="B5:C5"/>
    <mergeCell ref="B6:C6"/>
    <mergeCell ref="B7:C7"/>
    <mergeCell ref="B9:C9"/>
    <mergeCell ref="A1:C1"/>
    <mergeCell ref="B2:C2"/>
    <mergeCell ref="B3:C3"/>
    <mergeCell ref="B4:C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workbookViewId="0">
      <pane ySplit="1" topLeftCell="A2" activePane="bottomLeft" state="frozenSplit"/>
      <selection pane="bottomLeft" activeCell="B5" sqref="B5:C6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3">
      <c r="A1" s="50" t="s">
        <v>260</v>
      </c>
      <c r="B1" s="50"/>
      <c r="C1" s="50"/>
    </row>
    <row r="2" spans="1:3">
      <c r="A2" s="34" t="s">
        <v>237</v>
      </c>
      <c r="B2" s="55">
        <f>[1]Reb_Tet!$B$11:$C$11</f>
        <v>69.981999999999999</v>
      </c>
      <c r="C2" s="56"/>
    </row>
    <row r="3" spans="1:3">
      <c r="A3" s="34" t="s">
        <v>238</v>
      </c>
      <c r="B3" s="55">
        <f>[2]Reb_Tet!$B$11:$C$11</f>
        <v>153.80199999999999</v>
      </c>
      <c r="C3" s="56"/>
    </row>
    <row r="4" spans="1:3">
      <c r="A4" s="34" t="s">
        <v>239</v>
      </c>
      <c r="B4" s="55">
        <f>[3]Reb_Tet!$B$11:$C$11</f>
        <v>183.94</v>
      </c>
      <c r="C4" s="56"/>
    </row>
    <row r="5" spans="1:3">
      <c r="A5" s="34" t="s">
        <v>240</v>
      </c>
      <c r="B5" s="55">
        <f>[4]Reb_Tet!$B$11:$C$11</f>
        <v>183.94</v>
      </c>
      <c r="C5" s="56"/>
    </row>
    <row r="6" spans="1:3">
      <c r="A6" s="34" t="s">
        <v>241</v>
      </c>
      <c r="B6" s="55">
        <f>[5]Reb_Tet!$B$11:$C$11</f>
        <v>183.94</v>
      </c>
      <c r="C6" s="56"/>
    </row>
    <row r="7" spans="1:3">
      <c r="A7" s="34" t="s">
        <v>242</v>
      </c>
      <c r="B7" s="55">
        <f>[6]Reb_Tet!$B$11:$C$11</f>
        <v>116.7295</v>
      </c>
      <c r="C7" s="56"/>
    </row>
    <row r="8" spans="1:3">
      <c r="B8" s="22"/>
      <c r="C8" s="22"/>
    </row>
    <row r="9" spans="1:3">
      <c r="A9" s="34" t="s">
        <v>27</v>
      </c>
      <c r="B9" s="55">
        <f>SUM(B2:C7)</f>
        <v>892.33350000000007</v>
      </c>
      <c r="C9" s="56"/>
    </row>
    <row r="10" spans="1:3">
      <c r="A10" s="5" t="s">
        <v>310</v>
      </c>
    </row>
  </sheetData>
  <mergeCells count="8">
    <mergeCell ref="B5:C5"/>
    <mergeCell ref="B6:C6"/>
    <mergeCell ref="B7:C7"/>
    <mergeCell ref="B9:C9"/>
    <mergeCell ref="A1:C1"/>
    <mergeCell ref="B2:C2"/>
    <mergeCell ref="B3:C3"/>
    <mergeCell ref="B4:C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zoomScaleSheetLayoutView="85" workbookViewId="0">
      <selection activeCell="B5" sqref="B5:C6"/>
    </sheetView>
  </sheetViews>
  <sheetFormatPr defaultRowHeight="15"/>
  <cols>
    <col min="1" max="1" width="20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">
      <c r="A1" s="50" t="s">
        <v>243</v>
      </c>
      <c r="B1" s="50"/>
      <c r="C1" s="50"/>
    </row>
    <row r="2" spans="1:3">
      <c r="A2" s="33" t="s">
        <v>237</v>
      </c>
      <c r="B2" s="55">
        <f>[1]Alv15!$B$83:$C$83</f>
        <v>593.10750000000007</v>
      </c>
      <c r="C2" s="56"/>
    </row>
    <row r="3" spans="1:3">
      <c r="A3" s="33" t="s">
        <v>238</v>
      </c>
      <c r="B3" s="53">
        <f>[2]Alv15!$B$84:$C$84</f>
        <v>1215.6879999999999</v>
      </c>
      <c r="C3" s="54"/>
    </row>
    <row r="4" spans="1:3">
      <c r="A4" s="33" t="s">
        <v>239</v>
      </c>
      <c r="B4" s="55">
        <f>[3]Alv15!$B$84:$C$84</f>
        <v>854.89</v>
      </c>
      <c r="C4" s="56"/>
    </row>
    <row r="5" spans="1:3">
      <c r="A5" s="33" t="s">
        <v>240</v>
      </c>
      <c r="B5" s="55">
        <f>[4]Alv15!$B$84:$C$84</f>
        <v>224.94000000000005</v>
      </c>
      <c r="C5" s="56"/>
    </row>
    <row r="6" spans="1:3">
      <c r="A6" s="33" t="s">
        <v>241</v>
      </c>
      <c r="B6" s="55">
        <f>[5]Alv15!$B$84:$C$84</f>
        <v>260.80799999999999</v>
      </c>
      <c r="C6" s="56"/>
    </row>
    <row r="7" spans="1:3">
      <c r="A7" s="33" t="s">
        <v>242</v>
      </c>
      <c r="B7" s="55">
        <f>[6]Alv15!$B$84:$C$84</f>
        <v>126.584</v>
      </c>
      <c r="C7" s="56"/>
    </row>
    <row r="9" spans="1:3">
      <c r="A9" s="34" t="s">
        <v>27</v>
      </c>
      <c r="B9" s="53">
        <f>SUM(B2:C7)</f>
        <v>3276.0174999999999</v>
      </c>
      <c r="C9" s="54"/>
    </row>
    <row r="10" spans="1:3">
      <c r="A10" s="5" t="s">
        <v>177</v>
      </c>
    </row>
  </sheetData>
  <mergeCells count="8">
    <mergeCell ref="B9:C9"/>
    <mergeCell ref="B7:C7"/>
    <mergeCell ref="A1:C1"/>
    <mergeCell ref="B2:C2"/>
    <mergeCell ref="B3:C3"/>
    <mergeCell ref="B4:C4"/>
    <mergeCell ref="B5:C5"/>
    <mergeCell ref="B6:C6"/>
  </mergeCells>
  <pageMargins left="0.511811024" right="0.511811024" top="0.78740157499999996" bottom="0.78740157499999996" header="0.31496062000000002" footer="0.31496062000000002"/>
  <pageSetup paperSize="9" scale="42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workbookViewId="0">
      <pane ySplit="1" topLeftCell="A2" activePane="bottomLeft" state="frozenSplit"/>
      <selection pane="bottomLeft" activeCell="B5" sqref="B5:C6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3">
      <c r="A1" s="50" t="s">
        <v>261</v>
      </c>
      <c r="B1" s="50"/>
      <c r="C1" s="50"/>
    </row>
    <row r="2" spans="1:3">
      <c r="A2" s="34" t="s">
        <v>237</v>
      </c>
      <c r="B2" s="55">
        <f>[1]Emass_Tet!$B$11:$C$11</f>
        <v>69.981999999999999</v>
      </c>
      <c r="C2" s="56"/>
    </row>
    <row r="3" spans="1:3">
      <c r="A3" s="34" t="s">
        <v>238</v>
      </c>
      <c r="B3" s="55">
        <f>[2]Emass_Tet!$B$11:$C$11</f>
        <v>153.80199999999999</v>
      </c>
      <c r="C3" s="56"/>
    </row>
    <row r="4" spans="1:3">
      <c r="A4" s="34" t="s">
        <v>239</v>
      </c>
      <c r="B4" s="55">
        <f>[3]Emass_Tet!$B$11:$C$11</f>
        <v>183.94</v>
      </c>
      <c r="C4" s="56"/>
    </row>
    <row r="5" spans="1:3">
      <c r="A5" s="34" t="s">
        <v>240</v>
      </c>
      <c r="B5" s="55">
        <f>[4]Emass_Tet!$B$11:$C$11</f>
        <v>183.94</v>
      </c>
      <c r="C5" s="56"/>
    </row>
    <row r="6" spans="1:3">
      <c r="A6" s="34" t="s">
        <v>241</v>
      </c>
      <c r="B6" s="55">
        <f>[5]Emass_Tet!$B$11:$C$11</f>
        <v>183.94</v>
      </c>
      <c r="C6" s="56"/>
    </row>
    <row r="7" spans="1:3">
      <c r="A7" s="34" t="s">
        <v>242</v>
      </c>
      <c r="B7" s="55">
        <f>[6]Emass_Tet!$B$11:$C$11</f>
        <v>116.7295</v>
      </c>
      <c r="C7" s="56"/>
    </row>
    <row r="8" spans="1:3">
      <c r="B8" s="22"/>
      <c r="C8" s="22"/>
    </row>
    <row r="9" spans="1:3">
      <c r="A9" s="34" t="s">
        <v>27</v>
      </c>
      <c r="B9" s="55">
        <f>SUM(B2:C7)</f>
        <v>892.33350000000007</v>
      </c>
      <c r="C9" s="56"/>
    </row>
    <row r="10" spans="1:3">
      <c r="A10" s="5" t="s">
        <v>191</v>
      </c>
    </row>
  </sheetData>
  <mergeCells count="8">
    <mergeCell ref="B5:C5"/>
    <mergeCell ref="B6:C6"/>
    <mergeCell ref="B7:C7"/>
    <mergeCell ref="B9:C9"/>
    <mergeCell ref="A1:C1"/>
    <mergeCell ref="B2:C2"/>
    <mergeCell ref="B3:C3"/>
    <mergeCell ref="B4:C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workbookViewId="0">
      <pane ySplit="1" topLeftCell="A2" activePane="bottomLeft" state="frozenSplit"/>
      <selection pane="bottomLeft" activeCell="B9" sqref="B9:C9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3">
      <c r="A1" s="50" t="s">
        <v>262</v>
      </c>
      <c r="B1" s="50"/>
      <c r="C1" s="50"/>
    </row>
    <row r="2" spans="1:3">
      <c r="A2" s="34" t="s">
        <v>237</v>
      </c>
      <c r="B2" s="55">
        <f>[1]Pint_Tet!$B$11:$C$11</f>
        <v>69.981999999999999</v>
      </c>
      <c r="C2" s="56"/>
    </row>
    <row r="3" spans="1:3">
      <c r="A3" s="34" t="s">
        <v>238</v>
      </c>
      <c r="B3" s="55">
        <f>[2]Pint_Tet!$B$11:$C$11</f>
        <v>153.80199999999999</v>
      </c>
      <c r="C3" s="56"/>
    </row>
    <row r="4" spans="1:3">
      <c r="A4" s="34" t="s">
        <v>239</v>
      </c>
      <c r="B4" s="55">
        <f>[3]Pint_Tet!$B$11:$C$11</f>
        <v>183.94</v>
      </c>
      <c r="C4" s="56"/>
    </row>
    <row r="5" spans="1:3">
      <c r="A5" s="34" t="s">
        <v>240</v>
      </c>
      <c r="B5" s="55">
        <f>[4]Pint_Tet!$B$11:$C$11</f>
        <v>183.94</v>
      </c>
      <c r="C5" s="56"/>
    </row>
    <row r="6" spans="1:3">
      <c r="A6" s="34" t="s">
        <v>241</v>
      </c>
      <c r="B6" s="55">
        <f>[5]Pint_Tet!$B$11:$C$11</f>
        <v>183.94</v>
      </c>
      <c r="C6" s="56"/>
    </row>
    <row r="7" spans="1:3">
      <c r="A7" s="34" t="s">
        <v>242</v>
      </c>
      <c r="B7" s="55">
        <f>[6]Pint_Tet!$B$11:$C$11</f>
        <v>116.7295</v>
      </c>
      <c r="C7" s="56"/>
    </row>
    <row r="8" spans="1:3">
      <c r="B8" s="22"/>
      <c r="C8" s="22"/>
    </row>
    <row r="9" spans="1:3">
      <c r="A9" s="34" t="s">
        <v>27</v>
      </c>
      <c r="B9" s="55">
        <f>SUM(B2:C7)</f>
        <v>892.33350000000007</v>
      </c>
      <c r="C9" s="56"/>
    </row>
    <row r="10" spans="1:3">
      <c r="A10" s="5" t="s">
        <v>311</v>
      </c>
    </row>
  </sheetData>
  <mergeCells count="8">
    <mergeCell ref="B5:C5"/>
    <mergeCell ref="B6:C6"/>
    <mergeCell ref="B7:C7"/>
    <mergeCell ref="B9:C9"/>
    <mergeCell ref="A1:C1"/>
    <mergeCell ref="B2:C2"/>
    <mergeCell ref="B3:C3"/>
    <mergeCell ref="B4:C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00FF00"/>
  </sheetPr>
  <dimension ref="A1:D18"/>
  <sheetViews>
    <sheetView zoomScale="85" zoomScaleNormal="85" workbookViewId="0">
      <pane ySplit="1" topLeftCell="A2" activePane="bottomLeft" state="frozenSplit"/>
      <selection pane="bottomLeft" activeCell="E16" sqref="D16:E21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3">
      <c r="A1" s="50" t="s">
        <v>263</v>
      </c>
      <c r="B1" s="50"/>
      <c r="C1" s="50"/>
    </row>
    <row r="2" spans="1:3">
      <c r="A2" s="34" t="s">
        <v>237</v>
      </c>
      <c r="B2" s="55">
        <f>[1]For_Ges!$B$52:$C$52</f>
        <v>202.11050000000003</v>
      </c>
      <c r="C2" s="56"/>
    </row>
    <row r="3" spans="1:3">
      <c r="A3" s="34" t="s">
        <v>238</v>
      </c>
      <c r="B3" s="55">
        <f>[2]For_Ges!$B$52:$C$52</f>
        <v>957.15299999999991</v>
      </c>
      <c r="C3" s="56"/>
    </row>
    <row r="4" spans="1:3">
      <c r="A4" s="34" t="s">
        <v>239</v>
      </c>
      <c r="B4" s="55">
        <f>[3]For_Ges!$B$52:$C$52</f>
        <v>993.91800000000001</v>
      </c>
      <c r="C4" s="56"/>
    </row>
    <row r="5" spans="1:3">
      <c r="A5" s="34" t="s">
        <v>240</v>
      </c>
      <c r="B5" s="55">
        <f>[4]For_Ges!$B$52:$C$52</f>
        <v>42.83</v>
      </c>
      <c r="C5" s="56"/>
    </row>
    <row r="6" spans="1:3">
      <c r="A6" s="34" t="s">
        <v>241</v>
      </c>
      <c r="B6" s="55">
        <f>[5]For_Ges!$B$52:$C$52</f>
        <v>42.83</v>
      </c>
      <c r="C6" s="56"/>
    </row>
    <row r="7" spans="1:3">
      <c r="A7" s="34" t="s">
        <v>242</v>
      </c>
      <c r="B7" s="55">
        <f>[6]For_Ges!$B$52:$C$52</f>
        <v>0</v>
      </c>
      <c r="C7" s="56"/>
    </row>
    <row r="8" spans="1:3">
      <c r="B8" s="22"/>
      <c r="C8" s="22"/>
    </row>
    <row r="9" spans="1:3">
      <c r="A9" s="34" t="s">
        <v>27</v>
      </c>
      <c r="B9" s="53">
        <f>SUM(B2:C7)</f>
        <v>2238.8415</v>
      </c>
      <c r="C9" s="54"/>
    </row>
    <row r="10" spans="1:3">
      <c r="A10" s="5" t="s">
        <v>312</v>
      </c>
    </row>
    <row r="17" spans="4:4">
      <c r="D17" s="36"/>
    </row>
    <row r="18" spans="4:4">
      <c r="D18" s="22"/>
    </row>
  </sheetData>
  <mergeCells count="8">
    <mergeCell ref="B5:C5"/>
    <mergeCell ref="B6:C6"/>
    <mergeCell ref="B7:C7"/>
    <mergeCell ref="B9:C9"/>
    <mergeCell ref="A1:C1"/>
    <mergeCell ref="B2:C2"/>
    <mergeCell ref="B3:C3"/>
    <mergeCell ref="B4:C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workbookViewId="0">
      <pane ySplit="1" topLeftCell="A2" activePane="bottomLeft" state="frozenSplit"/>
      <selection pane="bottomLeft" activeCell="G24" sqref="G24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3">
      <c r="A1" s="50" t="s">
        <v>264</v>
      </c>
      <c r="B1" s="50"/>
      <c r="C1" s="50"/>
    </row>
    <row r="2" spans="1:3">
      <c r="A2" s="34" t="s">
        <v>237</v>
      </c>
      <c r="B2" s="55">
        <f>[1]Emass_For_Ges!$B$52:$C$52</f>
        <v>202.11050000000003</v>
      </c>
      <c r="C2" s="56"/>
    </row>
    <row r="3" spans="1:3">
      <c r="A3" s="34" t="s">
        <v>238</v>
      </c>
      <c r="B3" s="55">
        <f>[2]Emass_For_Ges!$B$52:$C$52</f>
        <v>957.15299999999991</v>
      </c>
      <c r="C3" s="56"/>
    </row>
    <row r="4" spans="1:3">
      <c r="A4" s="34" t="s">
        <v>239</v>
      </c>
      <c r="B4" s="55">
        <f>[3]Emass_For_Ges!$B$52:$C$52</f>
        <v>993.91800000000001</v>
      </c>
      <c r="C4" s="56"/>
    </row>
    <row r="5" spans="1:3">
      <c r="A5" s="34" t="s">
        <v>240</v>
      </c>
      <c r="B5" s="55">
        <f>[4]Emass_For_Ges!$B$52:$C$52</f>
        <v>42.83</v>
      </c>
      <c r="C5" s="56"/>
    </row>
    <row r="6" spans="1:3">
      <c r="A6" s="34" t="s">
        <v>241</v>
      </c>
      <c r="B6" s="55">
        <f>[5]Emass_For_Ges!$B$52:$C$52</f>
        <v>42.83</v>
      </c>
      <c r="C6" s="56"/>
    </row>
    <row r="7" spans="1:3">
      <c r="A7" s="34" t="s">
        <v>242</v>
      </c>
      <c r="B7" s="55">
        <f>[6]Emass_For_Ges!$B$52:$C$52</f>
        <v>0</v>
      </c>
      <c r="C7" s="56"/>
    </row>
    <row r="8" spans="1:3">
      <c r="B8" s="22"/>
      <c r="C8" s="22"/>
    </row>
    <row r="9" spans="1:3">
      <c r="A9" s="34" t="s">
        <v>27</v>
      </c>
      <c r="B9" s="53">
        <f>SUM(B2:C7)</f>
        <v>2238.8415</v>
      </c>
      <c r="C9" s="54"/>
    </row>
    <row r="10" spans="1:3">
      <c r="A10" s="5" t="s">
        <v>191</v>
      </c>
    </row>
  </sheetData>
  <mergeCells count="8">
    <mergeCell ref="B5:C5"/>
    <mergeCell ref="B6:C6"/>
    <mergeCell ref="B7:C7"/>
    <mergeCell ref="B9:C9"/>
    <mergeCell ref="A1:C1"/>
    <mergeCell ref="B2:C2"/>
    <mergeCell ref="B3:C3"/>
    <mergeCell ref="B4:C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workbookViewId="0">
      <pane ySplit="1" topLeftCell="A2" activePane="bottomLeft" state="frozenSplit"/>
      <selection pane="bottomLeft" activeCell="G31" sqref="G31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3">
      <c r="A1" s="50" t="s">
        <v>265</v>
      </c>
      <c r="B1" s="50"/>
      <c r="C1" s="50"/>
    </row>
    <row r="2" spans="1:3">
      <c r="A2" s="34" t="s">
        <v>237</v>
      </c>
      <c r="B2" s="55">
        <f>[1]Pint_For_Ges!$B$52:$C$52</f>
        <v>202.11050000000003</v>
      </c>
      <c r="C2" s="56"/>
    </row>
    <row r="3" spans="1:3">
      <c r="A3" s="34" t="s">
        <v>238</v>
      </c>
      <c r="B3" s="55">
        <f>[2]Pint_For_Ges!$B$52:$C$52</f>
        <v>957.15299999999991</v>
      </c>
      <c r="C3" s="56"/>
    </row>
    <row r="4" spans="1:3">
      <c r="A4" s="34" t="s">
        <v>239</v>
      </c>
      <c r="B4" s="55">
        <f>[3]Pint_For_Ges!$B$52:$C$52</f>
        <v>993.91800000000001</v>
      </c>
      <c r="C4" s="56"/>
    </row>
    <row r="5" spans="1:3">
      <c r="A5" s="34" t="s">
        <v>240</v>
      </c>
      <c r="B5" s="55">
        <f>[4]Pint_For_Ges!$B$52:$C$52</f>
        <v>42.83</v>
      </c>
      <c r="C5" s="56"/>
    </row>
    <row r="6" spans="1:3">
      <c r="A6" s="34" t="s">
        <v>241</v>
      </c>
      <c r="B6" s="55">
        <f>[5]Pint_For_Ges!$B$52:$C$52</f>
        <v>42.83</v>
      </c>
      <c r="C6" s="56"/>
    </row>
    <row r="7" spans="1:3">
      <c r="A7" s="34" t="s">
        <v>242</v>
      </c>
      <c r="B7" s="55">
        <f>[6]Pint_For_Ges!$B$52:$C$52</f>
        <v>0</v>
      </c>
      <c r="C7" s="56"/>
    </row>
    <row r="8" spans="1:3">
      <c r="B8" s="22"/>
      <c r="C8" s="22"/>
    </row>
    <row r="9" spans="1:3">
      <c r="A9" s="34" t="s">
        <v>27</v>
      </c>
      <c r="B9" s="53">
        <f>SUM(B2:C7)</f>
        <v>2238.8415</v>
      </c>
      <c r="C9" s="54"/>
    </row>
    <row r="10" spans="1:3">
      <c r="A10" s="5" t="s">
        <v>311</v>
      </c>
    </row>
  </sheetData>
  <mergeCells count="8">
    <mergeCell ref="B5:C5"/>
    <mergeCell ref="B6:C6"/>
    <mergeCell ref="B7:C7"/>
    <mergeCell ref="B9:C9"/>
    <mergeCell ref="A1:C1"/>
    <mergeCell ref="B2:C2"/>
    <mergeCell ref="B3:C3"/>
    <mergeCell ref="B4:C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workbookViewId="0">
      <pane ySplit="1" topLeftCell="A2" activePane="bottomLeft" state="frozenSplit"/>
      <selection pane="bottomLeft" activeCell="D15" sqref="D15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3">
      <c r="A1" s="50" t="s">
        <v>266</v>
      </c>
      <c r="B1" s="50"/>
      <c r="C1" s="50"/>
    </row>
    <row r="2" spans="1:3">
      <c r="A2" s="34" t="s">
        <v>237</v>
      </c>
      <c r="B2" s="55">
        <f>[1]Pis_Porce!$B$35:$C$35</f>
        <v>37.86</v>
      </c>
      <c r="C2" s="56"/>
    </row>
    <row r="3" spans="1:3">
      <c r="A3" s="34" t="s">
        <v>238</v>
      </c>
      <c r="B3" s="55">
        <f>[2]Pis_Porce!$B$35:$C$35</f>
        <v>819.45800000000008</v>
      </c>
      <c r="C3" s="56"/>
    </row>
    <row r="4" spans="1:3">
      <c r="A4" s="34" t="s">
        <v>239</v>
      </c>
      <c r="B4" s="55">
        <f>[3]Pis_Porce!$B$35:$C$35</f>
        <v>912.86699999999996</v>
      </c>
      <c r="C4" s="56"/>
    </row>
    <row r="5" spans="1:3">
      <c r="A5" s="34" t="s">
        <v>240</v>
      </c>
      <c r="B5" s="55">
        <f>[4]Pis_Porce!$B$35:$C$35</f>
        <v>29.43</v>
      </c>
      <c r="C5" s="56"/>
    </row>
    <row r="6" spans="1:3">
      <c r="A6" s="34" t="s">
        <v>241</v>
      </c>
      <c r="B6" s="55">
        <f>[5]Pis_Porce!$B$35:$C$35</f>
        <v>29.43</v>
      </c>
      <c r="C6" s="56"/>
    </row>
    <row r="7" spans="1:3">
      <c r="A7" s="34" t="s">
        <v>242</v>
      </c>
      <c r="B7" s="55">
        <f>[6]Pis_Porce!$B$35:$C$35</f>
        <v>0</v>
      </c>
      <c r="C7" s="56"/>
    </row>
    <row r="8" spans="1:3">
      <c r="B8" s="22"/>
      <c r="C8" s="22"/>
    </row>
    <row r="9" spans="1:3">
      <c r="A9" s="34" t="s">
        <v>27</v>
      </c>
      <c r="B9" s="53">
        <f>SUM(B2:C7)</f>
        <v>1829.0450000000001</v>
      </c>
      <c r="C9" s="54"/>
    </row>
    <row r="10" spans="1:3">
      <c r="A10" s="5" t="s">
        <v>313</v>
      </c>
    </row>
  </sheetData>
  <mergeCells count="8">
    <mergeCell ref="B5:C5"/>
    <mergeCell ref="B6:C6"/>
    <mergeCell ref="B7:C7"/>
    <mergeCell ref="B9:C9"/>
    <mergeCell ref="A1:C1"/>
    <mergeCell ref="B2:C2"/>
    <mergeCell ref="B3:C3"/>
    <mergeCell ref="B4:C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workbookViewId="0">
      <pane ySplit="1" topLeftCell="A2" activePane="bottomLeft" state="frozenSplit"/>
      <selection pane="bottomLeft" activeCell="B5" sqref="B5:C6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3">
      <c r="A1" s="50" t="s">
        <v>267</v>
      </c>
      <c r="B1" s="50"/>
      <c r="C1" s="50"/>
    </row>
    <row r="2" spans="1:3">
      <c r="A2" s="34" t="s">
        <v>237</v>
      </c>
      <c r="B2" s="55">
        <f>[1]Pis_Cer!$B$21:$C$21</f>
        <v>149.1755</v>
      </c>
      <c r="C2" s="56"/>
    </row>
    <row r="3" spans="1:3">
      <c r="A3" s="34" t="s">
        <v>238</v>
      </c>
      <c r="B3" s="55">
        <f>[2]Pis_Cer!$B$21:$C$21</f>
        <v>137.69499999999999</v>
      </c>
      <c r="C3" s="56"/>
    </row>
    <row r="4" spans="1:3">
      <c r="A4" s="34" t="s">
        <v>239</v>
      </c>
      <c r="B4" s="55">
        <f>[3]Pis_Cer!$B$21:$C$21</f>
        <v>81.051000000000016</v>
      </c>
      <c r="C4" s="56"/>
    </row>
    <row r="5" spans="1:3">
      <c r="A5" s="34" t="s">
        <v>240</v>
      </c>
      <c r="B5" s="55">
        <f>[4]Pis_Cer!$B$21:$C$21</f>
        <v>13.4</v>
      </c>
      <c r="C5" s="56"/>
    </row>
    <row r="6" spans="1:3">
      <c r="A6" s="34" t="s">
        <v>241</v>
      </c>
      <c r="B6" s="55">
        <f>[5]Pis_Cer!$B$21:$C$21</f>
        <v>13.4</v>
      </c>
      <c r="C6" s="56"/>
    </row>
    <row r="7" spans="1:3">
      <c r="A7" s="34" t="s">
        <v>242</v>
      </c>
      <c r="B7" s="55">
        <f>[6]Pis_Cer!$B$21:$C$21</f>
        <v>0</v>
      </c>
      <c r="C7" s="56"/>
    </row>
    <row r="8" spans="1:3">
      <c r="B8" s="22"/>
      <c r="C8" s="22"/>
    </row>
    <row r="9" spans="1:3">
      <c r="A9" s="34" t="s">
        <v>27</v>
      </c>
      <c r="B9" s="55">
        <f>SUM(B2:C7)</f>
        <v>394.72149999999999</v>
      </c>
      <c r="C9" s="56"/>
    </row>
    <row r="10" spans="1:3">
      <c r="A10" s="5" t="s">
        <v>192</v>
      </c>
    </row>
  </sheetData>
  <mergeCells count="8">
    <mergeCell ref="B5:C5"/>
    <mergeCell ref="B6:C6"/>
    <mergeCell ref="B7:C7"/>
    <mergeCell ref="B9:C9"/>
    <mergeCell ref="A1:C1"/>
    <mergeCell ref="B2:C2"/>
    <mergeCell ref="B3:C3"/>
    <mergeCell ref="B4:C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workbookViewId="0">
      <pane ySplit="1" topLeftCell="A2" activePane="bottomLeft" state="frozenSplit"/>
      <selection pane="bottomLeft" activeCell="B9" sqref="B9:C9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3">
      <c r="A1" s="50" t="s">
        <v>268</v>
      </c>
      <c r="B1" s="50"/>
      <c r="C1" s="50"/>
    </row>
    <row r="2" spans="1:3">
      <c r="A2" s="34" t="s">
        <v>237</v>
      </c>
      <c r="B2" s="55">
        <f>[1]Pis_Conc_Poli!$B$7:$C$7</f>
        <v>953.07900000000006</v>
      </c>
      <c r="C2" s="56"/>
    </row>
    <row r="3" spans="1:3">
      <c r="A3" s="34" t="s">
        <v>238</v>
      </c>
      <c r="B3" s="55">
        <f>[2]Pis_Conc_Poli!$B$7:$C$7</f>
        <v>135.00200000000001</v>
      </c>
      <c r="C3" s="56"/>
    </row>
    <row r="4" spans="1:3">
      <c r="A4" s="34" t="s">
        <v>239</v>
      </c>
      <c r="B4" s="55">
        <f>[3]Pis_Conc_Poli!$B$7:$C$7</f>
        <v>0</v>
      </c>
      <c r="C4" s="56"/>
    </row>
    <row r="5" spans="1:3">
      <c r="A5" s="34" t="s">
        <v>240</v>
      </c>
      <c r="B5" s="55">
        <f>[4]Pis_Conc_Poli!$B$7:$C$7</f>
        <v>0</v>
      </c>
      <c r="C5" s="56"/>
    </row>
    <row r="6" spans="1:3">
      <c r="A6" s="34" t="s">
        <v>241</v>
      </c>
      <c r="B6" s="55">
        <f>[5]Pis_Conc_Poli!$B$7:$C$7</f>
        <v>0</v>
      </c>
      <c r="C6" s="56"/>
    </row>
    <row r="7" spans="1:3">
      <c r="A7" s="34" t="s">
        <v>242</v>
      </c>
      <c r="B7" s="55">
        <f>[6]Pis_Conc_Poli!$B$7:$C$7</f>
        <v>0</v>
      </c>
      <c r="C7" s="56"/>
    </row>
    <row r="8" spans="1:3">
      <c r="B8" s="22"/>
      <c r="C8" s="22"/>
    </row>
    <row r="9" spans="1:3">
      <c r="A9" s="34" t="s">
        <v>27</v>
      </c>
      <c r="B9" s="53">
        <f>SUM(B2:C7)</f>
        <v>1088.0810000000001</v>
      </c>
      <c r="C9" s="54"/>
    </row>
    <row r="10" spans="1:3">
      <c r="A10" s="5" t="s">
        <v>193</v>
      </c>
    </row>
  </sheetData>
  <mergeCells count="8">
    <mergeCell ref="B5:C5"/>
    <mergeCell ref="B6:C6"/>
    <mergeCell ref="B7:C7"/>
    <mergeCell ref="B9:C9"/>
    <mergeCell ref="A1:C1"/>
    <mergeCell ref="B2:C2"/>
    <mergeCell ref="B3:C3"/>
    <mergeCell ref="B4:C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00FF00"/>
  </sheetPr>
  <dimension ref="A1:O10"/>
  <sheetViews>
    <sheetView zoomScale="85" zoomScaleNormal="85" workbookViewId="0">
      <selection activeCell="N5" sqref="N5:O6"/>
    </sheetView>
  </sheetViews>
  <sheetFormatPr defaultRowHeight="15"/>
  <cols>
    <col min="1" max="1" width="20.7109375" style="5" customWidth="1"/>
    <col min="2" max="6" width="10.7109375" style="5" customWidth="1"/>
    <col min="7" max="7" width="20.7109375" style="5" customWidth="1"/>
    <col min="8" max="12" width="10.7109375" style="5" customWidth="1"/>
    <col min="13" max="13" width="20.7109375" style="5" customWidth="1"/>
    <col min="14" max="15" width="10.7109375" style="5" customWidth="1"/>
    <col min="16" max="16384" width="9.140625" style="5"/>
  </cols>
  <sheetData>
    <row r="1" spans="1:15">
      <c r="A1" s="50" t="s">
        <v>269</v>
      </c>
      <c r="B1" s="50"/>
      <c r="C1" s="50"/>
      <c r="G1" s="50" t="s">
        <v>270</v>
      </c>
      <c r="H1" s="50"/>
      <c r="I1" s="50"/>
      <c r="M1" s="50" t="s">
        <v>271</v>
      </c>
      <c r="N1" s="50"/>
      <c r="O1" s="50"/>
    </row>
    <row r="2" spans="1:15">
      <c r="A2" s="34" t="s">
        <v>237</v>
      </c>
      <c r="B2" s="55">
        <f>[1]Pis_Grani!$B$7:$C$7</f>
        <v>118.45400000000001</v>
      </c>
      <c r="C2" s="56"/>
      <c r="G2" s="34" t="s">
        <v>237</v>
      </c>
      <c r="H2" s="55">
        <f>[1]Pis_Grani!$B$15:$B$15</f>
        <v>163.6</v>
      </c>
      <c r="I2" s="56"/>
      <c r="M2" s="34" t="s">
        <v>237</v>
      </c>
      <c r="N2" s="59">
        <f>[1]Pis_Grani!$B$24:$B$24</f>
        <v>110.00000000000001</v>
      </c>
      <c r="O2" s="60"/>
    </row>
    <row r="3" spans="1:15">
      <c r="A3" s="34" t="s">
        <v>238</v>
      </c>
      <c r="B3" s="55">
        <f>[2]Pis_Grani!$B$7:$C$7</f>
        <v>120.13900000000001</v>
      </c>
      <c r="C3" s="56"/>
      <c r="G3" s="34" t="s">
        <v>238</v>
      </c>
      <c r="H3" s="55">
        <f>[2]Pis_Grani!$B$15:$B$15</f>
        <v>85.704000000000008</v>
      </c>
      <c r="I3" s="56"/>
      <c r="M3" s="34" t="s">
        <v>238</v>
      </c>
      <c r="N3" s="59">
        <f>[2]Pis_Grani!$B$24:$B$24</f>
        <v>92.4</v>
      </c>
      <c r="O3" s="60"/>
    </row>
    <row r="4" spans="1:15">
      <c r="A4" s="34" t="s">
        <v>239</v>
      </c>
      <c r="B4" s="55">
        <f>[3]Pis_Grani!$B$7:$C$7</f>
        <v>88.812000000000012</v>
      </c>
      <c r="C4" s="56"/>
      <c r="G4" s="34" t="s">
        <v>239</v>
      </c>
      <c r="H4" s="55">
        <f>[3]Pis_Grani!$B$15:$B$15</f>
        <v>0</v>
      </c>
      <c r="I4" s="56"/>
      <c r="M4" s="34" t="s">
        <v>239</v>
      </c>
      <c r="N4" s="59">
        <f>[3]Pis_Grani!$B$24:$B$24</f>
        <v>92.4</v>
      </c>
      <c r="O4" s="60"/>
    </row>
    <row r="5" spans="1:15">
      <c r="A5" s="34" t="s">
        <v>240</v>
      </c>
      <c r="B5" s="55">
        <f>[4]Pis_Grani!$B$7:$C$7</f>
        <v>88.812000000000012</v>
      </c>
      <c r="C5" s="56"/>
      <c r="G5" s="34" t="s">
        <v>240</v>
      </c>
      <c r="H5" s="55">
        <f>[4]Pis_Grani!$B$15:$B$15</f>
        <v>0</v>
      </c>
      <c r="I5" s="56"/>
      <c r="M5" s="34" t="s">
        <v>240</v>
      </c>
      <c r="N5" s="59">
        <f>[4]Pis_Grani!$B$24:$B$24</f>
        <v>92.4</v>
      </c>
      <c r="O5" s="60"/>
    </row>
    <row r="6" spans="1:15">
      <c r="A6" s="34" t="s">
        <v>241</v>
      </c>
      <c r="B6" s="55">
        <f>[5]Pis_Grani!$B$7:$C$7</f>
        <v>88.812000000000012</v>
      </c>
      <c r="C6" s="56"/>
      <c r="G6" s="34" t="s">
        <v>241</v>
      </c>
      <c r="H6" s="55">
        <f>[5]Pis_Grani!$B$15:$B$15</f>
        <v>0</v>
      </c>
      <c r="I6" s="56"/>
      <c r="M6" s="34" t="s">
        <v>241</v>
      </c>
      <c r="N6" s="59">
        <f>[5]Pis_Grani!$B$24:$B$24</f>
        <v>92.4</v>
      </c>
      <c r="O6" s="60"/>
    </row>
    <row r="7" spans="1:15">
      <c r="A7" s="34" t="s">
        <v>242</v>
      </c>
      <c r="B7" s="55">
        <f>[6]Pis_Grani!$B$7:$C$7</f>
        <v>0</v>
      </c>
      <c r="C7" s="56"/>
      <c r="G7" s="34" t="s">
        <v>242</v>
      </c>
      <c r="H7" s="55">
        <f>[6]Pis_Grani!$B$15:$B$15</f>
        <v>0</v>
      </c>
      <c r="I7" s="56"/>
      <c r="M7" s="34" t="s">
        <v>242</v>
      </c>
      <c r="N7" s="59">
        <f>[6]Pis_Grani!$B$24:$B$24</f>
        <v>0</v>
      </c>
      <c r="O7" s="60"/>
    </row>
    <row r="8" spans="1:15">
      <c r="B8" s="22"/>
      <c r="C8" s="22"/>
      <c r="H8" s="22"/>
      <c r="I8" s="22"/>
      <c r="N8" s="35"/>
      <c r="O8" s="35"/>
    </row>
    <row r="9" spans="1:15">
      <c r="A9" s="34" t="s">
        <v>27</v>
      </c>
      <c r="B9" s="55">
        <f>SUM(B2:C7)</f>
        <v>505.02900000000005</v>
      </c>
      <c r="C9" s="56"/>
      <c r="G9" s="34" t="s">
        <v>27</v>
      </c>
      <c r="H9" s="55">
        <f>SUM(H2:I7)</f>
        <v>249.304</v>
      </c>
      <c r="I9" s="56"/>
      <c r="M9" s="34" t="s">
        <v>27</v>
      </c>
      <c r="N9" s="59">
        <f>SUM(N2:O7)</f>
        <v>479.6</v>
      </c>
      <c r="O9" s="60"/>
    </row>
    <row r="10" spans="1:15">
      <c r="A10" s="5" t="s">
        <v>194</v>
      </c>
      <c r="G10" s="5" t="s">
        <v>194</v>
      </c>
      <c r="M10" s="5" t="s">
        <v>195</v>
      </c>
    </row>
  </sheetData>
  <mergeCells count="24">
    <mergeCell ref="B9:C9"/>
    <mergeCell ref="G1:I1"/>
    <mergeCell ref="H2:I2"/>
    <mergeCell ref="H3:I3"/>
    <mergeCell ref="H4:I4"/>
    <mergeCell ref="H5:I5"/>
    <mergeCell ref="H6:I6"/>
    <mergeCell ref="H7:I7"/>
    <mergeCell ref="H9:I9"/>
    <mergeCell ref="B3:C3"/>
    <mergeCell ref="B4:C4"/>
    <mergeCell ref="B5:C5"/>
    <mergeCell ref="B6:C6"/>
    <mergeCell ref="B7:C7"/>
    <mergeCell ref="A1:C1"/>
    <mergeCell ref="B2:C2"/>
    <mergeCell ref="N6:O6"/>
    <mergeCell ref="N7:O7"/>
    <mergeCell ref="N9:O9"/>
    <mergeCell ref="M1:O1"/>
    <mergeCell ref="N2:O2"/>
    <mergeCell ref="N3:O3"/>
    <mergeCell ref="N4:O4"/>
    <mergeCell ref="N5:O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workbookViewId="0">
      <selection activeCell="B5" sqref="B5:C6"/>
    </sheetView>
  </sheetViews>
  <sheetFormatPr defaultRowHeight="15"/>
  <cols>
    <col min="1" max="1" width="20.7109375" style="5" customWidth="1"/>
    <col min="2" max="5" width="10.7109375" style="5" customWidth="1"/>
    <col min="6" max="16384" width="9.140625" style="5"/>
  </cols>
  <sheetData>
    <row r="1" spans="1:3">
      <c r="A1" s="50" t="s">
        <v>272</v>
      </c>
      <c r="B1" s="50"/>
      <c r="C1" s="50"/>
    </row>
    <row r="2" spans="1:3">
      <c r="A2" s="34" t="s">
        <v>237</v>
      </c>
      <c r="B2" s="55">
        <f>[1]Con_Pis!$B$57:$C$57</f>
        <v>469.08950000000004</v>
      </c>
      <c r="C2" s="56"/>
    </row>
    <row r="3" spans="1:3">
      <c r="A3" s="34" t="s">
        <v>238</v>
      </c>
      <c r="B3" s="53">
        <f>[2]Con_Pis!$B$57:$C$57</f>
        <v>1246.8160000000003</v>
      </c>
      <c r="C3" s="54"/>
    </row>
    <row r="4" spans="1:3">
      <c r="A4" s="34" t="s">
        <v>239</v>
      </c>
      <c r="B4" s="53">
        <f>[3]Con_Pis!$B$57:$C$57</f>
        <v>1249.4874999999997</v>
      </c>
      <c r="C4" s="54"/>
    </row>
    <row r="5" spans="1:3">
      <c r="A5" s="34" t="s">
        <v>240</v>
      </c>
      <c r="B5" s="53">
        <f>[4]Con_Pis!$B$57:$C$57</f>
        <v>1283.2520000000002</v>
      </c>
      <c r="C5" s="54"/>
    </row>
    <row r="6" spans="1:3">
      <c r="A6" s="34" t="s">
        <v>241</v>
      </c>
      <c r="B6" s="53">
        <f>[5]Con_Pis!$B$57:$C$57</f>
        <v>1282.922</v>
      </c>
      <c r="C6" s="54"/>
    </row>
    <row r="7" spans="1:3">
      <c r="A7" s="34" t="s">
        <v>242</v>
      </c>
      <c r="B7" s="55">
        <f>[6]Con_Pis!$B$57:$C$57</f>
        <v>65.239999999999995</v>
      </c>
      <c r="C7" s="56"/>
    </row>
    <row r="8" spans="1:3">
      <c r="B8" s="22"/>
      <c r="C8" s="22"/>
    </row>
    <row r="9" spans="1:3">
      <c r="A9" s="34" t="s">
        <v>27</v>
      </c>
      <c r="B9" s="53">
        <f>SUM(B2:C7)</f>
        <v>5596.8070000000007</v>
      </c>
      <c r="C9" s="54"/>
    </row>
    <row r="10" spans="1:3">
      <c r="A10" s="5" t="s">
        <v>196</v>
      </c>
    </row>
  </sheetData>
  <mergeCells count="8">
    <mergeCell ref="B5:C5"/>
    <mergeCell ref="B6:C6"/>
    <mergeCell ref="B7:C7"/>
    <mergeCell ref="B9:C9"/>
    <mergeCell ref="A1:C1"/>
    <mergeCell ref="B2:C2"/>
    <mergeCell ref="B3:C3"/>
    <mergeCell ref="B4:C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zoomScaleSheetLayoutView="85" workbookViewId="0">
      <selection activeCell="B5" sqref="B5:C6"/>
    </sheetView>
  </sheetViews>
  <sheetFormatPr defaultRowHeight="15"/>
  <cols>
    <col min="1" max="1" width="20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">
      <c r="A1" s="50" t="s">
        <v>244</v>
      </c>
      <c r="B1" s="50"/>
      <c r="C1" s="50"/>
    </row>
    <row r="2" spans="1:3">
      <c r="A2" s="33" t="s">
        <v>237</v>
      </c>
      <c r="B2" s="55">
        <f>[1]Alv20!$B$34:$C$34</f>
        <v>489.78550000000001</v>
      </c>
      <c r="C2" s="56"/>
    </row>
    <row r="3" spans="1:3">
      <c r="A3" s="33" t="s">
        <v>238</v>
      </c>
      <c r="B3" s="55">
        <f>[2]Alv20!$B$34:$C$34</f>
        <v>561.22450000000003</v>
      </c>
      <c r="C3" s="56"/>
    </row>
    <row r="4" spans="1:3">
      <c r="A4" s="33" t="s">
        <v>239</v>
      </c>
      <c r="B4" s="55">
        <f>[3]Alv20!$B$34:$C$34</f>
        <v>604.2410000000001</v>
      </c>
      <c r="C4" s="56"/>
    </row>
    <row r="5" spans="1:3">
      <c r="A5" s="33" t="s">
        <v>240</v>
      </c>
      <c r="B5" s="55">
        <f>[4]Alv20!$B$34:$C$34</f>
        <v>663.45100000000002</v>
      </c>
      <c r="C5" s="56"/>
    </row>
    <row r="6" spans="1:3">
      <c r="A6" s="33" t="s">
        <v>241</v>
      </c>
      <c r="B6" s="55">
        <f>[5]Alv20!$B$34:$C$34</f>
        <v>663.45100000000002</v>
      </c>
      <c r="C6" s="56"/>
    </row>
    <row r="7" spans="1:3">
      <c r="A7" s="33" t="s">
        <v>242</v>
      </c>
      <c r="B7" s="53">
        <f>[6]Alv20!$B$34:$C$34</f>
        <v>1039.306</v>
      </c>
      <c r="C7" s="54"/>
    </row>
    <row r="9" spans="1:3">
      <c r="A9" s="34" t="s">
        <v>27</v>
      </c>
      <c r="B9" s="53">
        <f>SUM(B2:C7)</f>
        <v>4021.4590000000003</v>
      </c>
      <c r="C9" s="54"/>
    </row>
    <row r="10" spans="1:3">
      <c r="A10" s="5" t="s">
        <v>178</v>
      </c>
    </row>
  </sheetData>
  <mergeCells count="8">
    <mergeCell ref="B9:C9"/>
    <mergeCell ref="B7:C7"/>
    <mergeCell ref="A1:C1"/>
    <mergeCell ref="B2:C2"/>
    <mergeCell ref="B3:C3"/>
    <mergeCell ref="B4:C4"/>
    <mergeCell ref="B5:C5"/>
    <mergeCell ref="B6:C6"/>
  </mergeCells>
  <pageMargins left="0.511811024" right="0.511811024" top="0.78740157499999996" bottom="0.78740157499999996" header="0.31496062000000002" footer="0.31496062000000002"/>
  <pageSetup paperSize="9" scale="42" orientation="portrait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00FF00"/>
  </sheetPr>
  <dimension ref="A1:C9"/>
  <sheetViews>
    <sheetView zoomScale="85" zoomScaleNormal="85" workbookViewId="0">
      <selection activeCell="B5" sqref="B5:C5"/>
    </sheetView>
  </sheetViews>
  <sheetFormatPr defaultRowHeight="15"/>
  <cols>
    <col min="1" max="1" width="20.7109375" style="5" customWidth="1"/>
    <col min="2" max="5" width="10.7109375" style="5" customWidth="1"/>
    <col min="6" max="16384" width="9.140625" style="5"/>
  </cols>
  <sheetData>
    <row r="1" spans="1:3">
      <c r="A1" s="50" t="s">
        <v>343</v>
      </c>
      <c r="B1" s="50"/>
      <c r="C1" s="50"/>
    </row>
    <row r="2" spans="1:3">
      <c r="A2" s="48" t="s">
        <v>237</v>
      </c>
      <c r="B2" s="55">
        <f>[1]Piso_Borracha!$B$6:$C$6</f>
        <v>0</v>
      </c>
      <c r="C2" s="56"/>
    </row>
    <row r="3" spans="1:3">
      <c r="A3" s="48" t="s">
        <v>238</v>
      </c>
      <c r="B3" s="55">
        <f>[2]Piso_Borracha!$B$6:$C$6</f>
        <v>83.82</v>
      </c>
      <c r="C3" s="56"/>
    </row>
    <row r="4" spans="1:3">
      <c r="A4" s="48" t="s">
        <v>239</v>
      </c>
      <c r="B4" s="55">
        <f>[3]Piso_Borracha!$B$6:$C$6</f>
        <v>112.42</v>
      </c>
      <c r="C4" s="56"/>
    </row>
    <row r="5" spans="1:3">
      <c r="A5" s="48" t="s">
        <v>240</v>
      </c>
      <c r="B5" s="55">
        <f>[4]Piso_Borracha!$B$6:$C$6</f>
        <v>112.42</v>
      </c>
      <c r="C5" s="56"/>
    </row>
    <row r="6" spans="1:3">
      <c r="A6" s="48" t="s">
        <v>241</v>
      </c>
      <c r="B6" s="55">
        <f>[5]Piso_Borracha!$B$6:$C$6</f>
        <v>112.09</v>
      </c>
      <c r="C6" s="56"/>
    </row>
    <row r="7" spans="1:3">
      <c r="A7" s="48" t="s">
        <v>242</v>
      </c>
      <c r="B7" s="55">
        <f>[6]Piso_Borracha!$B$6:$C$6</f>
        <v>0</v>
      </c>
      <c r="C7" s="56"/>
    </row>
    <row r="8" spans="1:3">
      <c r="B8" s="22"/>
      <c r="C8" s="22"/>
    </row>
    <row r="9" spans="1:3">
      <c r="A9" s="48" t="s">
        <v>27</v>
      </c>
      <c r="B9" s="55">
        <f>SUM(B2:C7)</f>
        <v>420.75</v>
      </c>
      <c r="C9" s="56"/>
    </row>
  </sheetData>
  <mergeCells count="8">
    <mergeCell ref="B7:C7"/>
    <mergeCell ref="B9:C9"/>
    <mergeCell ref="A1:C1"/>
    <mergeCell ref="B2:C2"/>
    <mergeCell ref="B3:C3"/>
    <mergeCell ref="B4:C4"/>
    <mergeCell ref="B5:C5"/>
    <mergeCell ref="B6:C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workbookViewId="0">
      <selection activeCell="B9" sqref="B9:C9"/>
    </sheetView>
  </sheetViews>
  <sheetFormatPr defaultRowHeight="15"/>
  <cols>
    <col min="1" max="1" width="20.7109375" style="5" customWidth="1"/>
    <col min="2" max="2" width="15.7109375" style="5" customWidth="1"/>
    <col min="3" max="4" width="9.140625" style="5"/>
    <col min="5" max="5" width="15.7109375" style="5" customWidth="1"/>
    <col min="6" max="8" width="9.140625" style="5"/>
    <col min="9" max="9" width="15.7109375" style="5" customWidth="1"/>
    <col min="10" max="16384" width="9.140625" style="5"/>
  </cols>
  <sheetData>
    <row r="1" spans="1:3">
      <c r="A1" s="50" t="s">
        <v>273</v>
      </c>
      <c r="B1" s="50"/>
      <c r="C1" s="50"/>
    </row>
    <row r="2" spans="1:3">
      <c r="A2" s="34" t="s">
        <v>237</v>
      </c>
      <c r="B2" s="55">
        <f>[1]Passeio!$B$8</f>
        <v>103.0895</v>
      </c>
      <c r="C2" s="56"/>
    </row>
    <row r="3" spans="1:3">
      <c r="A3" s="34" t="s">
        <v>238</v>
      </c>
      <c r="B3" s="55">
        <f>[2]Passeio!$B$8</f>
        <v>0</v>
      </c>
      <c r="C3" s="56"/>
    </row>
    <row r="4" spans="1:3">
      <c r="A4" s="34" t="s">
        <v>239</v>
      </c>
      <c r="B4" s="55">
        <f>[3]Passeio!$B$8</f>
        <v>0</v>
      </c>
      <c r="C4" s="56"/>
    </row>
    <row r="5" spans="1:3">
      <c r="A5" s="34" t="s">
        <v>240</v>
      </c>
      <c r="B5" s="55">
        <f>[4]Passeio!$B$8</f>
        <v>0</v>
      </c>
      <c r="C5" s="56"/>
    </row>
    <row r="6" spans="1:3">
      <c r="A6" s="34" t="s">
        <v>241</v>
      </c>
      <c r="B6" s="55">
        <f>[5]Passeio!$B$8</f>
        <v>0</v>
      </c>
      <c r="C6" s="56"/>
    </row>
    <row r="7" spans="1:3">
      <c r="A7" s="34" t="s">
        <v>242</v>
      </c>
      <c r="B7" s="55">
        <f>[6]Passeio!$B$8</f>
        <v>0</v>
      </c>
      <c r="C7" s="56"/>
    </row>
    <row r="8" spans="1:3">
      <c r="B8" s="22"/>
      <c r="C8" s="22"/>
    </row>
    <row r="9" spans="1:3">
      <c r="A9" s="34" t="s">
        <v>27</v>
      </c>
      <c r="B9" s="55">
        <f>SUM(B2:C7)</f>
        <v>103.0895</v>
      </c>
      <c r="C9" s="56"/>
    </row>
    <row r="10" spans="1:3">
      <c r="A10" s="5" t="s">
        <v>197</v>
      </c>
    </row>
  </sheetData>
  <mergeCells count="8">
    <mergeCell ref="B7:C7"/>
    <mergeCell ref="B9:C9"/>
    <mergeCell ref="A1:C1"/>
    <mergeCell ref="B2:C2"/>
    <mergeCell ref="B3:C3"/>
    <mergeCell ref="B4:C4"/>
    <mergeCell ref="B5:C5"/>
    <mergeCell ref="B6:C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zoomScaleSheetLayoutView="85" workbookViewId="0">
      <pane ySplit="1" topLeftCell="A2" activePane="bottomLeft" state="frozenSplit"/>
      <selection pane="bottomLeft" activeCell="B5" sqref="B5:C6"/>
    </sheetView>
  </sheetViews>
  <sheetFormatPr defaultRowHeight="15"/>
  <cols>
    <col min="1" max="1" width="20.7109375" style="5" customWidth="1"/>
    <col min="2" max="2" width="10.7109375" style="5" customWidth="1"/>
    <col min="3" max="10" width="7.7109375" style="5" customWidth="1"/>
    <col min="11" max="13" width="10.7109375" style="5" customWidth="1"/>
    <col min="14" max="18" width="9.140625" style="5"/>
    <col min="19" max="19" width="15.7109375" style="5" customWidth="1"/>
    <col min="20" max="16384" width="9.140625" style="5"/>
  </cols>
  <sheetData>
    <row r="1" spans="1:3">
      <c r="A1" s="50" t="s">
        <v>274</v>
      </c>
      <c r="B1" s="50"/>
      <c r="C1" s="50"/>
    </row>
    <row r="2" spans="1:3">
      <c r="A2" s="34" t="s">
        <v>237</v>
      </c>
      <c r="B2" s="59">
        <f>[1]Soleira!$B$28</f>
        <v>29.79</v>
      </c>
      <c r="C2" s="60"/>
    </row>
    <row r="3" spans="1:3">
      <c r="A3" s="34" t="s">
        <v>238</v>
      </c>
      <c r="B3" s="59">
        <f>[2]Soleira!$B$28</f>
        <v>38.29</v>
      </c>
      <c r="C3" s="60"/>
    </row>
    <row r="4" spans="1:3">
      <c r="A4" s="34" t="s">
        <v>239</v>
      </c>
      <c r="B4" s="59">
        <f>[3]Soleira!$B$28</f>
        <v>24.39</v>
      </c>
      <c r="C4" s="60"/>
    </row>
    <row r="5" spans="1:3">
      <c r="A5" s="34" t="s">
        <v>240</v>
      </c>
      <c r="B5" s="59">
        <f>[4]Soleira!$B$28</f>
        <v>13.489999999999998</v>
      </c>
      <c r="C5" s="60"/>
    </row>
    <row r="6" spans="1:3">
      <c r="A6" s="34" t="s">
        <v>241</v>
      </c>
      <c r="B6" s="59">
        <f>[5]Soleira!$B$28</f>
        <v>14.59</v>
      </c>
      <c r="C6" s="60"/>
    </row>
    <row r="7" spans="1:3">
      <c r="A7" s="34" t="s">
        <v>242</v>
      </c>
      <c r="B7" s="59">
        <f>[6]Soleira!$B$28</f>
        <v>0</v>
      </c>
      <c r="C7" s="60"/>
    </row>
    <row r="8" spans="1:3">
      <c r="B8" s="35"/>
      <c r="C8" s="35"/>
    </row>
    <row r="9" spans="1:3">
      <c r="A9" s="34" t="s">
        <v>27</v>
      </c>
      <c r="B9" s="59">
        <f>SUM(B2:C7)</f>
        <v>120.55</v>
      </c>
      <c r="C9" s="60"/>
    </row>
    <row r="10" spans="1:3">
      <c r="A10" s="5" t="s">
        <v>198</v>
      </c>
    </row>
  </sheetData>
  <mergeCells count="8">
    <mergeCell ref="B6:C6"/>
    <mergeCell ref="B7:C7"/>
    <mergeCell ref="B9:C9"/>
    <mergeCell ref="A1:C1"/>
    <mergeCell ref="B2:C2"/>
    <mergeCell ref="B3:C3"/>
    <mergeCell ref="B4:C4"/>
    <mergeCell ref="B5:C5"/>
  </mergeCells>
  <pageMargins left="0.511811024" right="0.511811024" top="0.78740157499999996" bottom="0.78740157499999996" header="0.31496062000000002" footer="0.31496062000000002"/>
  <pageSetup paperSize="9" scale="42" orientation="portrait" horizontalDpi="0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00FF00"/>
  </sheetPr>
  <dimension ref="A1:O10"/>
  <sheetViews>
    <sheetView zoomScale="85" zoomScaleNormal="85" workbookViewId="0">
      <pane ySplit="1" topLeftCell="A2" activePane="bottomLeft" state="frozenSplit"/>
      <selection pane="bottomLeft" activeCell="N5" sqref="N5:O6"/>
    </sheetView>
  </sheetViews>
  <sheetFormatPr defaultRowHeight="15"/>
  <cols>
    <col min="1" max="1" width="20.7109375" style="5" customWidth="1"/>
    <col min="2" max="6" width="10.7109375" style="5" customWidth="1"/>
    <col min="7" max="7" width="20.7109375" style="5" customWidth="1"/>
    <col min="8" max="12" width="10.7109375" style="5" customWidth="1"/>
    <col min="13" max="13" width="20.7109375" style="5" customWidth="1"/>
    <col min="14" max="16" width="10.7109375" style="5" customWidth="1"/>
    <col min="17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15">
      <c r="A1" s="50" t="s">
        <v>275</v>
      </c>
      <c r="B1" s="50"/>
      <c r="C1" s="50"/>
      <c r="G1" s="50" t="s">
        <v>276</v>
      </c>
      <c r="H1" s="50"/>
      <c r="I1" s="50"/>
      <c r="M1" s="50" t="s">
        <v>277</v>
      </c>
      <c r="N1" s="50"/>
      <c r="O1" s="50"/>
    </row>
    <row r="2" spans="1:15">
      <c r="A2" s="34" t="s">
        <v>237</v>
      </c>
      <c r="B2" s="59">
        <f>[1]Rodape!$B$36:$C$36</f>
        <v>27.379999999999995</v>
      </c>
      <c r="C2" s="60"/>
      <c r="G2" s="34" t="s">
        <v>237</v>
      </c>
      <c r="H2" s="59">
        <f>[1]Rodape!$B$47:$B$47</f>
        <v>49.64</v>
      </c>
      <c r="I2" s="60"/>
      <c r="M2" s="34" t="s">
        <v>237</v>
      </c>
      <c r="N2" s="59">
        <f>[1]Rodape!$B$57:$B$57</f>
        <v>63.769999999999996</v>
      </c>
      <c r="O2" s="60"/>
    </row>
    <row r="3" spans="1:15">
      <c r="A3" s="34" t="s">
        <v>238</v>
      </c>
      <c r="B3" s="59">
        <f>[2]Rodape!$B$36:$C$36</f>
        <v>560.08000000000004</v>
      </c>
      <c r="C3" s="60"/>
      <c r="G3" s="34" t="s">
        <v>238</v>
      </c>
      <c r="H3" s="59">
        <f>[2]Rodape!$B$47:$B$47</f>
        <v>57.339999999999996</v>
      </c>
      <c r="I3" s="60"/>
      <c r="M3" s="34" t="s">
        <v>238</v>
      </c>
      <c r="N3" s="59">
        <f>[2]Rodape!$B$57:$B$57</f>
        <v>52.75</v>
      </c>
      <c r="O3" s="60"/>
    </row>
    <row r="4" spans="1:15">
      <c r="A4" s="34" t="s">
        <v>239</v>
      </c>
      <c r="B4" s="59">
        <f>[3]Rodape!$B$36:$C$36</f>
        <v>435.01</v>
      </c>
      <c r="C4" s="60"/>
      <c r="G4" s="34" t="s">
        <v>239</v>
      </c>
      <c r="H4" s="59">
        <f>[3]Rodape!$B$47:$B$47</f>
        <v>0</v>
      </c>
      <c r="I4" s="60"/>
      <c r="M4" s="34" t="s">
        <v>239</v>
      </c>
      <c r="N4" s="59">
        <f>[3]Rodape!$B$57:$B$57</f>
        <v>54.05</v>
      </c>
      <c r="O4" s="60"/>
    </row>
    <row r="5" spans="1:15">
      <c r="A5" s="34" t="s">
        <v>240</v>
      </c>
      <c r="B5" s="59">
        <f>[4]Rodape!$B$36:$C$36</f>
        <v>18.14</v>
      </c>
      <c r="C5" s="60"/>
      <c r="G5" s="34" t="s">
        <v>240</v>
      </c>
      <c r="H5" s="59">
        <f>[4]Rodape!$B$47:$B$47</f>
        <v>0</v>
      </c>
      <c r="I5" s="60"/>
      <c r="M5" s="34" t="s">
        <v>240</v>
      </c>
      <c r="N5" s="59">
        <f>[4]Rodape!$B$57:$B$57</f>
        <v>54.85</v>
      </c>
      <c r="O5" s="60"/>
    </row>
    <row r="6" spans="1:15">
      <c r="A6" s="34" t="s">
        <v>241</v>
      </c>
      <c r="B6" s="59">
        <f>[5]Rodape!$B$36:$C$36</f>
        <v>18.14</v>
      </c>
      <c r="C6" s="60"/>
      <c r="G6" s="34" t="s">
        <v>241</v>
      </c>
      <c r="H6" s="59">
        <f>[5]Rodape!$B$47:$B$47</f>
        <v>0</v>
      </c>
      <c r="I6" s="60"/>
      <c r="M6" s="34" t="s">
        <v>241</v>
      </c>
      <c r="N6" s="59">
        <f>[5]Rodape!$B$57:$B$57</f>
        <v>54.85</v>
      </c>
      <c r="O6" s="60"/>
    </row>
    <row r="7" spans="1:15">
      <c r="A7" s="34" t="s">
        <v>242</v>
      </c>
      <c r="B7" s="59">
        <f>[6]Rodape!$B$36:$C$36</f>
        <v>0</v>
      </c>
      <c r="C7" s="60"/>
      <c r="G7" s="34" t="s">
        <v>242</v>
      </c>
      <c r="H7" s="59">
        <f>[6]Rodape!$B$47:$B$47</f>
        <v>0</v>
      </c>
      <c r="I7" s="60"/>
      <c r="M7" s="34" t="s">
        <v>242</v>
      </c>
      <c r="N7" s="59">
        <f>[6]Rodape!$B$57:$B$57</f>
        <v>0</v>
      </c>
      <c r="O7" s="60"/>
    </row>
    <row r="8" spans="1:15">
      <c r="B8" s="35"/>
      <c r="C8" s="35"/>
      <c r="H8" s="35"/>
      <c r="I8" s="35"/>
      <c r="N8" s="35"/>
      <c r="O8" s="35"/>
    </row>
    <row r="9" spans="1:15">
      <c r="A9" s="34" t="s">
        <v>27</v>
      </c>
      <c r="B9" s="57">
        <f>SUM(B2:C7)</f>
        <v>1058.7500000000002</v>
      </c>
      <c r="C9" s="58"/>
      <c r="G9" s="34" t="s">
        <v>27</v>
      </c>
      <c r="H9" s="59">
        <f>SUM(H2:I7)</f>
        <v>106.97999999999999</v>
      </c>
      <c r="I9" s="60"/>
      <c r="M9" s="34" t="s">
        <v>27</v>
      </c>
      <c r="N9" s="59">
        <f>SUM(N2:O7)</f>
        <v>280.27</v>
      </c>
      <c r="O9" s="60"/>
    </row>
    <row r="10" spans="1:15">
      <c r="A10" s="5" t="s">
        <v>315</v>
      </c>
      <c r="G10" s="5" t="s">
        <v>199</v>
      </c>
      <c r="M10" s="5" t="s">
        <v>314</v>
      </c>
    </row>
  </sheetData>
  <mergeCells count="24">
    <mergeCell ref="B6:C6"/>
    <mergeCell ref="B7:C7"/>
    <mergeCell ref="B9:C9"/>
    <mergeCell ref="G1:I1"/>
    <mergeCell ref="H2:I2"/>
    <mergeCell ref="H3:I3"/>
    <mergeCell ref="H4:I4"/>
    <mergeCell ref="H5:I5"/>
    <mergeCell ref="H6:I6"/>
    <mergeCell ref="H7:I7"/>
    <mergeCell ref="H9:I9"/>
    <mergeCell ref="A1:C1"/>
    <mergeCell ref="B2:C2"/>
    <mergeCell ref="B3:C3"/>
    <mergeCell ref="B4:C4"/>
    <mergeCell ref="B5:C5"/>
    <mergeCell ref="N6:O6"/>
    <mergeCell ref="N7:O7"/>
    <mergeCell ref="N9:O9"/>
    <mergeCell ref="M1:O1"/>
    <mergeCell ref="N2:O2"/>
    <mergeCell ref="N3:O3"/>
    <mergeCell ref="N4:O4"/>
    <mergeCell ref="N5:O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00FF00"/>
  </sheetPr>
  <dimension ref="A1:AS57"/>
  <sheetViews>
    <sheetView tabSelected="1" topLeftCell="V1" zoomScale="85" zoomScaleNormal="85" zoomScaleSheetLayoutView="85" workbookViewId="0">
      <pane ySplit="14" topLeftCell="A15" activePane="bottomLeft" state="frozen"/>
      <selection pane="bottomLeft" activeCell="AA7" sqref="AA7"/>
    </sheetView>
  </sheetViews>
  <sheetFormatPr defaultRowHeight="15"/>
  <cols>
    <col min="1" max="1" width="14.7109375" style="5" customWidth="1"/>
    <col min="2" max="20" width="10.28515625" style="5" customWidth="1"/>
    <col min="21" max="21" width="3.7109375" style="5" customWidth="1"/>
    <col min="22" max="44" width="10.28515625" style="5" customWidth="1"/>
    <col min="45" max="45" width="16.7109375" style="5" customWidth="1"/>
    <col min="46" max="16384" width="9.140625" style="5"/>
  </cols>
  <sheetData>
    <row r="1" spans="1:45">
      <c r="B1" s="34" t="s">
        <v>64</v>
      </c>
      <c r="C1" s="34" t="s">
        <v>67</v>
      </c>
      <c r="D1" s="34" t="s">
        <v>68</v>
      </c>
      <c r="E1" s="34" t="s">
        <v>69</v>
      </c>
      <c r="F1" s="34" t="s">
        <v>70</v>
      </c>
      <c r="G1" s="34" t="s">
        <v>71</v>
      </c>
      <c r="H1" s="34" t="s">
        <v>72</v>
      </c>
      <c r="I1" s="34" t="s">
        <v>73</v>
      </c>
      <c r="J1" s="34" t="s">
        <v>74</v>
      </c>
      <c r="K1" s="34" t="s">
        <v>75</v>
      </c>
      <c r="L1" s="34" t="s">
        <v>76</v>
      </c>
      <c r="M1" s="34" t="s">
        <v>77</v>
      </c>
      <c r="N1" s="34" t="s">
        <v>78</v>
      </c>
      <c r="O1" s="34" t="s">
        <v>79</v>
      </c>
      <c r="P1" s="34" t="s">
        <v>80</v>
      </c>
      <c r="Q1" s="34" t="s">
        <v>81</v>
      </c>
      <c r="R1" s="39" t="s">
        <v>294</v>
      </c>
      <c r="S1" s="39" t="s">
        <v>295</v>
      </c>
      <c r="T1" s="49" t="s">
        <v>348</v>
      </c>
      <c r="U1" s="3"/>
      <c r="V1" s="34" t="s">
        <v>82</v>
      </c>
      <c r="W1" s="34" t="s">
        <v>83</v>
      </c>
      <c r="X1" s="34" t="s">
        <v>84</v>
      </c>
      <c r="Y1" s="34" t="s">
        <v>85</v>
      </c>
      <c r="Z1" s="34" t="s">
        <v>86</v>
      </c>
      <c r="AA1" s="34" t="s">
        <v>87</v>
      </c>
      <c r="AB1" s="34" t="s">
        <v>88</v>
      </c>
      <c r="AC1" s="34" t="s">
        <v>89</v>
      </c>
      <c r="AD1" s="34" t="s">
        <v>90</v>
      </c>
      <c r="AE1" s="34" t="s">
        <v>91</v>
      </c>
      <c r="AF1" s="34" t="s">
        <v>92</v>
      </c>
      <c r="AG1" s="34" t="s">
        <v>93</v>
      </c>
      <c r="AH1" s="34" t="s">
        <v>94</v>
      </c>
      <c r="AI1" s="38" t="s">
        <v>278</v>
      </c>
      <c r="AJ1" s="38" t="s">
        <v>279</v>
      </c>
      <c r="AK1" s="38" t="s">
        <v>280</v>
      </c>
      <c r="AL1" s="38" t="s">
        <v>281</v>
      </c>
      <c r="AM1" s="38" t="s">
        <v>282</v>
      </c>
      <c r="AN1" s="38" t="s">
        <v>283</v>
      </c>
      <c r="AO1" s="38" t="s">
        <v>284</v>
      </c>
      <c r="AP1" s="39" t="s">
        <v>298</v>
      </c>
      <c r="AQ1" s="49" t="s">
        <v>350</v>
      </c>
      <c r="AR1" s="49" t="s">
        <v>351</v>
      </c>
    </row>
    <row r="2" spans="1:45">
      <c r="B2" s="28" t="s">
        <v>347</v>
      </c>
      <c r="C2" s="28" t="s">
        <v>127</v>
      </c>
      <c r="D2" s="28" t="s">
        <v>97</v>
      </c>
      <c r="E2" s="28" t="s">
        <v>129</v>
      </c>
      <c r="F2" s="28" t="s">
        <v>130</v>
      </c>
      <c r="G2" s="28" t="s">
        <v>99</v>
      </c>
      <c r="H2" s="28" t="s">
        <v>100</v>
      </c>
      <c r="I2" s="28" t="s">
        <v>131</v>
      </c>
      <c r="J2" s="28" t="s">
        <v>102</v>
      </c>
      <c r="K2" s="28" t="s">
        <v>103</v>
      </c>
      <c r="L2" s="28" t="s">
        <v>104</v>
      </c>
      <c r="M2" s="28" t="s">
        <v>105</v>
      </c>
      <c r="N2" s="28" t="s">
        <v>101</v>
      </c>
      <c r="O2" s="28" t="s">
        <v>133</v>
      </c>
      <c r="P2" s="28" t="s">
        <v>135</v>
      </c>
      <c r="Q2" s="28" t="s">
        <v>136</v>
      </c>
      <c r="R2" s="28" t="s">
        <v>297</v>
      </c>
      <c r="S2" s="28" t="s">
        <v>104</v>
      </c>
      <c r="T2" s="28" t="s">
        <v>349</v>
      </c>
      <c r="U2" s="27"/>
      <c r="V2" s="28" t="s">
        <v>135</v>
      </c>
      <c r="W2" s="28" t="s">
        <v>137</v>
      </c>
      <c r="X2" s="28" t="s">
        <v>108</v>
      </c>
      <c r="Y2" s="28" t="s">
        <v>109</v>
      </c>
      <c r="Z2" s="28" t="s">
        <v>114</v>
      </c>
      <c r="AA2" s="28" t="s">
        <v>110</v>
      </c>
      <c r="AB2" s="28" t="s">
        <v>285</v>
      </c>
      <c r="AC2" s="28" t="s">
        <v>111</v>
      </c>
      <c r="AD2" s="28" t="s">
        <v>112</v>
      </c>
      <c r="AE2" s="28" t="s">
        <v>113</v>
      </c>
      <c r="AF2" s="28" t="s">
        <v>114</v>
      </c>
      <c r="AG2" s="28" t="s">
        <v>115</v>
      </c>
      <c r="AH2" s="28" t="s">
        <v>109</v>
      </c>
      <c r="AI2" s="28" t="s">
        <v>109</v>
      </c>
      <c r="AJ2" s="28" t="s">
        <v>286</v>
      </c>
      <c r="AK2" s="28" t="s">
        <v>287</v>
      </c>
      <c r="AL2" s="28" t="s">
        <v>288</v>
      </c>
      <c r="AM2" s="28" t="s">
        <v>289</v>
      </c>
      <c r="AN2" s="28" t="s">
        <v>110</v>
      </c>
      <c r="AO2" s="28" t="s">
        <v>108</v>
      </c>
      <c r="AP2" s="28" t="s">
        <v>109</v>
      </c>
      <c r="AQ2" s="28" t="s">
        <v>110</v>
      </c>
      <c r="AR2" s="28" t="s">
        <v>352</v>
      </c>
    </row>
    <row r="3" spans="1:45">
      <c r="B3" s="30" t="s">
        <v>95</v>
      </c>
      <c r="C3" s="30" t="s">
        <v>96</v>
      </c>
      <c r="D3" s="30" t="s">
        <v>96</v>
      </c>
      <c r="E3" s="30" t="s">
        <v>96</v>
      </c>
      <c r="F3" s="30" t="s">
        <v>96</v>
      </c>
      <c r="G3" s="30" t="s">
        <v>96</v>
      </c>
      <c r="H3" s="30" t="s">
        <v>96</v>
      </c>
      <c r="I3" s="30" t="s">
        <v>132</v>
      </c>
      <c r="J3" s="30" t="s">
        <v>96</v>
      </c>
      <c r="K3" s="30" t="s">
        <v>96</v>
      </c>
      <c r="L3" s="30" t="s">
        <v>98</v>
      </c>
      <c r="M3" s="30" t="s">
        <v>98</v>
      </c>
      <c r="N3" s="30" t="s">
        <v>96</v>
      </c>
      <c r="O3" s="30" t="s">
        <v>134</v>
      </c>
      <c r="P3" s="30" t="s">
        <v>95</v>
      </c>
      <c r="Q3" s="30" t="s">
        <v>96</v>
      </c>
      <c r="R3" s="30" t="s">
        <v>96</v>
      </c>
      <c r="S3" s="30" t="s">
        <v>98</v>
      </c>
      <c r="T3" s="30" t="s">
        <v>95</v>
      </c>
      <c r="U3" s="27"/>
      <c r="V3" s="30" t="s">
        <v>116</v>
      </c>
      <c r="W3" s="30" t="s">
        <v>116</v>
      </c>
      <c r="X3" s="30" t="s">
        <v>118</v>
      </c>
      <c r="Y3" s="30" t="s">
        <v>117</v>
      </c>
      <c r="Z3" s="30" t="s">
        <v>117</v>
      </c>
      <c r="AA3" s="30" t="s">
        <v>117</v>
      </c>
      <c r="AB3" s="30" t="s">
        <v>117</v>
      </c>
      <c r="AC3" s="30" t="s">
        <v>117</v>
      </c>
      <c r="AD3" s="30" t="s">
        <v>118</v>
      </c>
      <c r="AE3" s="30" t="s">
        <v>116</v>
      </c>
      <c r="AF3" s="30" t="s">
        <v>117</v>
      </c>
      <c r="AG3" s="30" t="s">
        <v>117</v>
      </c>
      <c r="AH3" s="30" t="s">
        <v>117</v>
      </c>
      <c r="AI3" s="30" t="s">
        <v>117</v>
      </c>
      <c r="AJ3" s="30" t="s">
        <v>117</v>
      </c>
      <c r="AK3" s="30" t="s">
        <v>117</v>
      </c>
      <c r="AL3" s="30" t="s">
        <v>117</v>
      </c>
      <c r="AM3" s="30" t="s">
        <v>117</v>
      </c>
      <c r="AN3" s="30" t="s">
        <v>117</v>
      </c>
      <c r="AO3" s="30" t="s">
        <v>118</v>
      </c>
      <c r="AP3" s="30" t="s">
        <v>117</v>
      </c>
      <c r="AQ3" s="30" t="s">
        <v>117</v>
      </c>
      <c r="AR3" s="30" t="s">
        <v>118</v>
      </c>
    </row>
    <row r="4" spans="1:45">
      <c r="B4" s="30" t="s">
        <v>65</v>
      </c>
      <c r="C4" s="30" t="s">
        <v>107</v>
      </c>
      <c r="D4" s="30" t="s">
        <v>107</v>
      </c>
      <c r="E4" s="30" t="s">
        <v>107</v>
      </c>
      <c r="F4" s="30" t="s">
        <v>107</v>
      </c>
      <c r="G4" s="30" t="s">
        <v>107</v>
      </c>
      <c r="H4" s="30" t="s">
        <v>107</v>
      </c>
      <c r="I4" s="30" t="s">
        <v>107</v>
      </c>
      <c r="J4" s="30" t="s">
        <v>107</v>
      </c>
      <c r="K4" s="30" t="s">
        <v>107</v>
      </c>
      <c r="L4" s="30" t="s">
        <v>107</v>
      </c>
      <c r="M4" s="30" t="s">
        <v>106</v>
      </c>
      <c r="N4" s="30" t="s">
        <v>107</v>
      </c>
      <c r="O4" s="30" t="s">
        <v>107</v>
      </c>
      <c r="P4" s="30" t="s">
        <v>107</v>
      </c>
      <c r="Q4" s="30" t="s">
        <v>107</v>
      </c>
      <c r="R4" s="30" t="s">
        <v>107</v>
      </c>
      <c r="S4" s="30" t="s">
        <v>107</v>
      </c>
      <c r="T4" s="30" t="s">
        <v>107</v>
      </c>
      <c r="U4" s="27"/>
      <c r="V4" s="30" t="s">
        <v>40</v>
      </c>
      <c r="W4" s="30" t="s">
        <v>40</v>
      </c>
      <c r="X4" s="30" t="s">
        <v>41</v>
      </c>
      <c r="Y4" s="30" t="s">
        <v>41</v>
      </c>
      <c r="Z4" s="30" t="s">
        <v>41</v>
      </c>
      <c r="AA4" s="30" t="s">
        <v>41</v>
      </c>
      <c r="AB4" s="30" t="s">
        <v>40</v>
      </c>
      <c r="AC4" s="30" t="s">
        <v>40</v>
      </c>
      <c r="AD4" s="30" t="s">
        <v>41</v>
      </c>
      <c r="AE4" s="30" t="s">
        <v>40</v>
      </c>
      <c r="AF4" s="30" t="s">
        <v>41</v>
      </c>
      <c r="AG4" s="30" t="s">
        <v>41</v>
      </c>
      <c r="AH4" s="30" t="s">
        <v>41</v>
      </c>
      <c r="AI4" s="30" t="s">
        <v>41</v>
      </c>
      <c r="AJ4" s="30" t="s">
        <v>41</v>
      </c>
      <c r="AK4" s="30" t="s">
        <v>41</v>
      </c>
      <c r="AL4" s="30" t="s">
        <v>40</v>
      </c>
      <c r="AM4" s="30" t="s">
        <v>40</v>
      </c>
      <c r="AN4" s="30" t="s">
        <v>41</v>
      </c>
      <c r="AO4" s="30" t="s">
        <v>41</v>
      </c>
      <c r="AP4" s="30" t="s">
        <v>40</v>
      </c>
      <c r="AQ4" s="30" t="s">
        <v>41</v>
      </c>
      <c r="AR4" s="30" t="s">
        <v>41</v>
      </c>
    </row>
    <row r="5" spans="1:45" ht="15" customHeight="1">
      <c r="B5" s="69" t="s">
        <v>128</v>
      </c>
      <c r="C5" s="69" t="s">
        <v>128</v>
      </c>
      <c r="D5" s="69" t="s">
        <v>66</v>
      </c>
      <c r="E5" s="69" t="s">
        <v>296</v>
      </c>
      <c r="F5" s="69" t="s">
        <v>128</v>
      </c>
      <c r="G5" s="69" t="s">
        <v>128</v>
      </c>
      <c r="H5" s="69" t="s">
        <v>128</v>
      </c>
      <c r="I5" s="69" t="s">
        <v>66</v>
      </c>
      <c r="J5" s="69" t="s">
        <v>128</v>
      </c>
      <c r="K5" s="69" t="s">
        <v>128</v>
      </c>
      <c r="L5" s="69" t="s">
        <v>66</v>
      </c>
      <c r="M5" s="69" t="s">
        <v>119</v>
      </c>
      <c r="N5" s="69" t="s">
        <v>296</v>
      </c>
      <c r="O5" s="69" t="s">
        <v>128</v>
      </c>
      <c r="P5" s="69" t="s">
        <v>128</v>
      </c>
      <c r="Q5" s="69" t="s">
        <v>66</v>
      </c>
      <c r="R5" s="69" t="s">
        <v>128</v>
      </c>
      <c r="S5" s="69" t="s">
        <v>296</v>
      </c>
      <c r="T5" s="69" t="s">
        <v>128</v>
      </c>
      <c r="U5" s="25"/>
      <c r="V5" s="69" t="s">
        <v>120</v>
      </c>
      <c r="W5" s="69" t="s">
        <v>66</v>
      </c>
      <c r="X5" s="69" t="s">
        <v>121</v>
      </c>
      <c r="Y5" s="69" t="s">
        <v>121</v>
      </c>
      <c r="Z5" s="69" t="s">
        <v>122</v>
      </c>
      <c r="AA5" s="69" t="s">
        <v>121</v>
      </c>
      <c r="AB5" s="69" t="s">
        <v>290</v>
      </c>
      <c r="AC5" s="69" t="s">
        <v>122</v>
      </c>
      <c r="AD5" s="69" t="s">
        <v>291</v>
      </c>
      <c r="AE5" s="69" t="s">
        <v>120</v>
      </c>
      <c r="AF5" s="69" t="s">
        <v>121</v>
      </c>
      <c r="AG5" s="69" t="s">
        <v>123</v>
      </c>
      <c r="AH5" s="69" t="s">
        <v>124</v>
      </c>
      <c r="AI5" s="69" t="s">
        <v>292</v>
      </c>
      <c r="AJ5" s="69" t="s">
        <v>292</v>
      </c>
      <c r="AK5" s="69" t="s">
        <v>293</v>
      </c>
      <c r="AL5" s="69" t="s">
        <v>293</v>
      </c>
      <c r="AM5" s="69" t="s">
        <v>293</v>
      </c>
      <c r="AN5" s="69" t="s">
        <v>121</v>
      </c>
      <c r="AO5" s="69" t="s">
        <v>290</v>
      </c>
      <c r="AP5" s="69" t="s">
        <v>66</v>
      </c>
      <c r="AQ5" s="69" t="s">
        <v>353</v>
      </c>
      <c r="AR5" s="69" t="s">
        <v>291</v>
      </c>
    </row>
    <row r="6" spans="1:45"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29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</row>
    <row r="7" spans="1:45">
      <c r="A7" s="34" t="s">
        <v>237</v>
      </c>
      <c r="B7" s="40">
        <f>[1]Esquad!$B$55</f>
        <v>0</v>
      </c>
      <c r="C7" s="40">
        <f>[1]Esquad!$C$55</f>
        <v>0</v>
      </c>
      <c r="D7" s="40">
        <f>[1]Esquad!$D$55</f>
        <v>0</v>
      </c>
      <c r="E7" s="40">
        <f>[1]Esquad!$E$55</f>
        <v>0</v>
      </c>
      <c r="F7" s="40">
        <f>[1]Esquad!$F$55</f>
        <v>0</v>
      </c>
      <c r="G7" s="21">
        <f>[1]Esquad!$G$55</f>
        <v>1</v>
      </c>
      <c r="H7" s="21">
        <f>[1]Esquad!$H$55</f>
        <v>1</v>
      </c>
      <c r="I7" s="40">
        <f>[1]Esquad!$I$55</f>
        <v>0</v>
      </c>
      <c r="J7" s="40">
        <f>[1]Esquad!$J$55</f>
        <v>0</v>
      </c>
      <c r="K7" s="21">
        <f>[1]Esquad!$K$55</f>
        <v>1</v>
      </c>
      <c r="L7" s="40">
        <f>[1]Esquad!$L$55</f>
        <v>0</v>
      </c>
      <c r="M7" s="40">
        <f>[1]Esquad!$M$55</f>
        <v>0</v>
      </c>
      <c r="N7" s="40">
        <f>[1]Esquad!$N$55</f>
        <v>0</v>
      </c>
      <c r="O7" s="40">
        <f>[1]Esquad!$O$55</f>
        <v>0</v>
      </c>
      <c r="P7" s="40">
        <f>[1]Esquad!$P$55</f>
        <v>0</v>
      </c>
      <c r="Q7" s="40">
        <f>[1]Esquad!$Q$55</f>
        <v>0</v>
      </c>
      <c r="R7" s="21">
        <f>[1]Esquad!$R$55</f>
        <v>1</v>
      </c>
      <c r="S7" s="40">
        <f>[1]Esquad!$S$55</f>
        <v>0</v>
      </c>
      <c r="T7" s="40">
        <f>[1]Esquad!$T$55</f>
        <v>0</v>
      </c>
      <c r="V7" s="40">
        <f>[1]Esquad!$V$55</f>
        <v>0</v>
      </c>
      <c r="W7" s="40">
        <f>[1]Esquad!$W$55</f>
        <v>0</v>
      </c>
      <c r="X7" s="21">
        <f>[1]Esquad!$X$55</f>
        <v>3</v>
      </c>
      <c r="Y7" s="21">
        <f>[1]Esquad!$Y$55</f>
        <v>5</v>
      </c>
      <c r="Z7" s="21">
        <f>[1]Esquad!$Z$55</f>
        <v>3</v>
      </c>
      <c r="AA7" s="21">
        <f>[1]Esquad!$AA$55</f>
        <v>2</v>
      </c>
      <c r="AB7" s="21">
        <f>[1]Esquad!$AB$55</f>
        <v>1</v>
      </c>
      <c r="AC7" s="21">
        <f>[1]Esquad!$AC$55</f>
        <v>1</v>
      </c>
      <c r="AD7" s="21">
        <f>[1]Esquad!$AD$55</f>
        <v>1</v>
      </c>
      <c r="AE7" s="21">
        <f>[1]Esquad!$AE$55</f>
        <v>1</v>
      </c>
      <c r="AF7" s="21">
        <f>[1]Esquad!$AF$55</f>
        <v>1</v>
      </c>
      <c r="AG7" s="40">
        <f>[1]Esquad!$AG$55</f>
        <v>0</v>
      </c>
      <c r="AH7" s="40">
        <f>[1]Esquad!$AH$55</f>
        <v>0</v>
      </c>
      <c r="AI7" s="40">
        <f>[1]Esquad!$AI$55</f>
        <v>0</v>
      </c>
      <c r="AJ7" s="40">
        <f>[1]Esquad!$AJ$55</f>
        <v>0</v>
      </c>
      <c r="AK7" s="21">
        <f>[1]Esquad!$AK$55</f>
        <v>11</v>
      </c>
      <c r="AL7" s="21">
        <f>[1]Esquad!$AL$55</f>
        <v>2</v>
      </c>
      <c r="AM7" s="40">
        <f>[1]Esquad!$AM$55</f>
        <v>0</v>
      </c>
      <c r="AN7" s="40">
        <f>[1]Esquad!$AN$55</f>
        <v>0</v>
      </c>
      <c r="AO7" s="21">
        <f>[1]Esquad!$AO$55</f>
        <v>2</v>
      </c>
      <c r="AP7" s="40">
        <f>[1]Esquad!$AP$55</f>
        <v>0</v>
      </c>
      <c r="AQ7" s="40">
        <f>[1]Esquad!$AQ$55</f>
        <v>0</v>
      </c>
      <c r="AR7" s="21">
        <f>[1]Esquad!$AR$55</f>
        <v>2</v>
      </c>
    </row>
    <row r="8" spans="1:45">
      <c r="A8" s="34" t="s">
        <v>238</v>
      </c>
      <c r="B8" s="40">
        <f>[2]Esquad!$B$55</f>
        <v>0</v>
      </c>
      <c r="C8" s="21">
        <f>[2]Esquad!$C$55</f>
        <v>1</v>
      </c>
      <c r="D8" s="21">
        <f>[2]Esquad!$D$55</f>
        <v>7</v>
      </c>
      <c r="E8" s="21">
        <f>[2]Esquad!$E$55</f>
        <v>1</v>
      </c>
      <c r="F8" s="21">
        <f>[2]Esquad!$F$55</f>
        <v>1</v>
      </c>
      <c r="G8" s="21">
        <f>[2]Esquad!$G$55</f>
        <v>1</v>
      </c>
      <c r="H8" s="21">
        <f>[2]Esquad!$H$55</f>
        <v>1</v>
      </c>
      <c r="I8" s="21">
        <f>[2]Esquad!$I$55</f>
        <v>1</v>
      </c>
      <c r="J8" s="21">
        <f>[2]Esquad!$J$55</f>
        <v>1</v>
      </c>
      <c r="K8" s="21">
        <f>[2]Esquad!$K$55</f>
        <v>1</v>
      </c>
      <c r="L8" s="21">
        <f>[2]Esquad!$L$55</f>
        <v>1</v>
      </c>
      <c r="M8" s="40">
        <f>[2]Esquad!$M$55</f>
        <v>0</v>
      </c>
      <c r="N8" s="21">
        <f>[2]Esquad!$N$55</f>
        <v>2</v>
      </c>
      <c r="O8" s="21">
        <f>[2]Esquad!$O$55</f>
        <v>1</v>
      </c>
      <c r="P8" s="21">
        <f>[2]Esquad!$P$55</f>
        <v>1</v>
      </c>
      <c r="Q8" s="21">
        <f>[2]Esquad!$Q$55</f>
        <v>1</v>
      </c>
      <c r="R8" s="40">
        <f>[2]Esquad!$R$55</f>
        <v>0</v>
      </c>
      <c r="S8" s="21">
        <f>[2]Esquad!$S$55</f>
        <v>2</v>
      </c>
      <c r="T8" s="40">
        <f>[2]Esquad!$T$55</f>
        <v>0</v>
      </c>
      <c r="V8" s="21">
        <f>[2]Esquad!$V$55</f>
        <v>1</v>
      </c>
      <c r="W8" s="21">
        <f>[2]Esquad!$W$55</f>
        <v>1</v>
      </c>
      <c r="X8" s="21">
        <f>[2]Esquad!$X$55</f>
        <v>6</v>
      </c>
      <c r="Y8" s="21">
        <f>[2]Esquad!$Y$55</f>
        <v>14</v>
      </c>
      <c r="Z8" s="40">
        <f>[2]Esquad!$Z$55</f>
        <v>0</v>
      </c>
      <c r="AA8" s="21">
        <f>[2]Esquad!$AA$55</f>
        <v>7</v>
      </c>
      <c r="AB8" s="40">
        <f>[2]Esquad!$AB$55</f>
        <v>0</v>
      </c>
      <c r="AC8" s="40">
        <f>[2]Esquad!$AC$55</f>
        <v>0</v>
      </c>
      <c r="AD8" s="40">
        <f>[2]Esquad!$AD$55</f>
        <v>0</v>
      </c>
      <c r="AE8" s="40">
        <f>[2]Esquad!$AE$55</f>
        <v>0</v>
      </c>
      <c r="AF8" s="21">
        <f>[2]Esquad!$AF$55</f>
        <v>10</v>
      </c>
      <c r="AG8" s="21">
        <f>[2]Esquad!$AG$55</f>
        <v>1</v>
      </c>
      <c r="AH8" s="21">
        <f>[2]Esquad!$AH$55</f>
        <v>1</v>
      </c>
      <c r="AI8" s="40">
        <f>[2]Esquad!$AI$55</f>
        <v>0</v>
      </c>
      <c r="AJ8" s="40">
        <f>[2]Esquad!$AJ$55</f>
        <v>0</v>
      </c>
      <c r="AK8" s="21">
        <f>[2]Esquad!$AK$55</f>
        <v>7</v>
      </c>
      <c r="AL8" s="21">
        <f>[2]Esquad!$AL$55</f>
        <v>2</v>
      </c>
      <c r="AM8" s="21">
        <f>[2]Esquad!$AM$55</f>
        <v>1</v>
      </c>
      <c r="AN8" s="21">
        <f>[2]Esquad!$AN$55</f>
        <v>12</v>
      </c>
      <c r="AO8" s="40">
        <f>[2]Esquad!$AO$55</f>
        <v>0</v>
      </c>
      <c r="AP8" s="21">
        <f>[2]Esquad!$AP$55</f>
        <v>1</v>
      </c>
      <c r="AQ8" s="40">
        <f>[2]Esquad!$AQ$55</f>
        <v>0</v>
      </c>
      <c r="AR8" s="40">
        <f>[2]Esquad!$AR$55</f>
        <v>0</v>
      </c>
    </row>
    <row r="9" spans="1:45">
      <c r="A9" s="34" t="s">
        <v>239</v>
      </c>
      <c r="B9" s="21">
        <f>[3]Esquad!$B$55</f>
        <v>1</v>
      </c>
      <c r="C9" s="40">
        <f>[3]Esquad!$C$55</f>
        <v>0</v>
      </c>
      <c r="D9" s="21">
        <f>[3]Esquad!$D$55</f>
        <v>7</v>
      </c>
      <c r="E9" s="21">
        <f>[3]Esquad!$E$55</f>
        <v>3</v>
      </c>
      <c r="F9" s="21">
        <f>[3]Esquad!$F$55</f>
        <v>1</v>
      </c>
      <c r="G9" s="21">
        <f>[3]Esquad!$G$55</f>
        <v>1</v>
      </c>
      <c r="H9" s="21">
        <f>[3]Esquad!$H$55</f>
        <v>1</v>
      </c>
      <c r="I9" s="40">
        <f>[3]Esquad!$I$55</f>
        <v>0</v>
      </c>
      <c r="J9" s="21">
        <f>[3]Esquad!$J$55</f>
        <v>1</v>
      </c>
      <c r="K9" s="21">
        <f>[3]Esquad!$K$55</f>
        <v>1</v>
      </c>
      <c r="L9" s="21">
        <f>[3]Esquad!$L$55</f>
        <v>1</v>
      </c>
      <c r="M9" s="40">
        <f>[3]Esquad!$M$55</f>
        <v>0</v>
      </c>
      <c r="N9" s="40">
        <f>[3]Esquad!$N$55</f>
        <v>0</v>
      </c>
      <c r="O9" s="40">
        <f>[3]Esquad!$O$55</f>
        <v>0</v>
      </c>
      <c r="P9" s="40">
        <f>[3]Esquad!$P$55</f>
        <v>0</v>
      </c>
      <c r="Q9" s="21">
        <f>[3]Esquad!$Q$55</f>
        <v>3</v>
      </c>
      <c r="R9" s="40">
        <f>[3]Esquad!$R$55</f>
        <v>0</v>
      </c>
      <c r="S9" s="21">
        <f>[3]Esquad!$S$55</f>
        <v>2</v>
      </c>
      <c r="T9" s="40">
        <f>[3]Esquad!$T$55</f>
        <v>0</v>
      </c>
      <c r="V9" s="40">
        <f>[3]Esquad!$V$55</f>
        <v>0</v>
      </c>
      <c r="W9" s="40">
        <f>[3]Esquad!$W$55</f>
        <v>0</v>
      </c>
      <c r="X9" s="21">
        <f>[3]Esquad!$X$55</f>
        <v>7</v>
      </c>
      <c r="Y9" s="21">
        <f>[3]Esquad!$Y$55</f>
        <v>6</v>
      </c>
      <c r="Z9" s="40">
        <f>[3]Esquad!$Z$55</f>
        <v>0</v>
      </c>
      <c r="AA9" s="21">
        <f>[3]Esquad!$AA$55</f>
        <v>12</v>
      </c>
      <c r="AB9" s="40">
        <f>[3]Esquad!$AB$55</f>
        <v>0</v>
      </c>
      <c r="AC9" s="40">
        <f>[3]Esquad!$AC$55</f>
        <v>0</v>
      </c>
      <c r="AD9" s="40">
        <f>[3]Esquad!$AD$55</f>
        <v>0</v>
      </c>
      <c r="AE9" s="40">
        <f>[3]Esquad!$AE$55</f>
        <v>0</v>
      </c>
      <c r="AF9" s="21">
        <f>[3]Esquad!$AF$55</f>
        <v>5</v>
      </c>
      <c r="AG9" s="40">
        <f>[3]Esquad!$AG$55</f>
        <v>0</v>
      </c>
      <c r="AH9" s="40">
        <f>[3]Esquad!$AH$55</f>
        <v>0</v>
      </c>
      <c r="AI9" s="21">
        <f>[3]Esquad!$AI$55</f>
        <v>2</v>
      </c>
      <c r="AJ9" s="21">
        <f>[3]Esquad!$AJ$55</f>
        <v>2</v>
      </c>
      <c r="AK9" s="40">
        <f>[3]Esquad!$AK$55</f>
        <v>0</v>
      </c>
      <c r="AL9" s="40">
        <f>[3]Esquad!$AL$55</f>
        <v>0</v>
      </c>
      <c r="AM9" s="40">
        <f>[3]Esquad!$AM$55</f>
        <v>0</v>
      </c>
      <c r="AN9" s="21">
        <f>[3]Esquad!$AN$55</f>
        <v>1</v>
      </c>
      <c r="AO9" s="40">
        <f>[3]Esquad!$AO$55</f>
        <v>0</v>
      </c>
      <c r="AP9" s="40">
        <f>[3]Esquad!$AP$55</f>
        <v>0</v>
      </c>
      <c r="AQ9" s="21">
        <f>[3]Esquad!$AQ$55</f>
        <v>1</v>
      </c>
      <c r="AR9" s="40">
        <f>[3]Esquad!$AR$55</f>
        <v>0</v>
      </c>
    </row>
    <row r="10" spans="1:45">
      <c r="A10" s="34" t="s">
        <v>240</v>
      </c>
      <c r="B10" s="40">
        <f>[4]Esquad!$B$55</f>
        <v>0</v>
      </c>
      <c r="C10" s="40">
        <f>[4]Esquad!$C$55</f>
        <v>0</v>
      </c>
      <c r="D10" s="21">
        <f>[4]Esquad!$D$55</f>
        <v>7</v>
      </c>
      <c r="E10" s="21">
        <f>[4]Esquad!$E$55</f>
        <v>1</v>
      </c>
      <c r="F10" s="21">
        <f>[4]Esquad!$F$55</f>
        <v>1</v>
      </c>
      <c r="G10" s="21">
        <f>[4]Esquad!$G$55</f>
        <v>1</v>
      </c>
      <c r="H10" s="21">
        <f>[4]Esquad!$H$55</f>
        <v>1</v>
      </c>
      <c r="I10" s="40">
        <f>[4]Esquad!$I$55</f>
        <v>0</v>
      </c>
      <c r="J10" s="21">
        <f>[4]Esquad!$J$55</f>
        <v>1</v>
      </c>
      <c r="K10" s="21">
        <f>[4]Esquad!$K$55</f>
        <v>1</v>
      </c>
      <c r="L10" s="21">
        <f>[4]Esquad!$L$55</f>
        <v>1</v>
      </c>
      <c r="M10" s="40">
        <f>[4]Esquad!$M$55</f>
        <v>0</v>
      </c>
      <c r="N10" s="40">
        <f>[4]Esquad!$N$55</f>
        <v>0</v>
      </c>
      <c r="O10" s="40">
        <f>[4]Esquad!$O$55</f>
        <v>0</v>
      </c>
      <c r="P10" s="40">
        <f>[4]Esquad!$P$55</f>
        <v>0</v>
      </c>
      <c r="Q10" s="21">
        <f>[4]Esquad!$Q$55</f>
        <v>3</v>
      </c>
      <c r="R10" s="40">
        <f>[4]Esquad!$R$55</f>
        <v>0</v>
      </c>
      <c r="S10" s="21">
        <f>[4]Esquad!$S$55</f>
        <v>2</v>
      </c>
      <c r="T10" s="21">
        <f>[4]Esquad!$T$55</f>
        <v>1</v>
      </c>
      <c r="V10" s="40">
        <f>[4]Esquad!$V$55</f>
        <v>0</v>
      </c>
      <c r="W10" s="40">
        <f>[4]Esquad!$W$55</f>
        <v>0</v>
      </c>
      <c r="X10" s="21">
        <f>[4]Esquad!$X$55</f>
        <v>3</v>
      </c>
      <c r="Y10" s="40">
        <f>[4]Esquad!$Y$55</f>
        <v>0</v>
      </c>
      <c r="Z10" s="40">
        <f>[4]Esquad!$Z$55</f>
        <v>0</v>
      </c>
      <c r="AA10" s="21">
        <f>[4]Esquad!$AA$55</f>
        <v>2</v>
      </c>
      <c r="AB10" s="40">
        <f>[4]Esquad!$AB$55</f>
        <v>0</v>
      </c>
      <c r="AC10" s="40">
        <f>[4]Esquad!$AC$55</f>
        <v>0</v>
      </c>
      <c r="AD10" s="40">
        <f>[4]Esquad!$AD$55</f>
        <v>0</v>
      </c>
      <c r="AE10" s="40">
        <f>[4]Esquad!$AE$55</f>
        <v>0</v>
      </c>
      <c r="AF10" s="40">
        <f>[4]Esquad!$AF$55</f>
        <v>0</v>
      </c>
      <c r="AG10" s="40">
        <f>[4]Esquad!$AG$55</f>
        <v>0</v>
      </c>
      <c r="AH10" s="40">
        <f>[4]Esquad!$AH$55</f>
        <v>0</v>
      </c>
      <c r="AI10" s="40">
        <f>[4]Esquad!$AI$55</f>
        <v>0</v>
      </c>
      <c r="AJ10" s="40">
        <f>[4]Esquad!$AJ$55</f>
        <v>0</v>
      </c>
      <c r="AK10" s="40">
        <f>[4]Esquad!$AK$55</f>
        <v>0</v>
      </c>
      <c r="AL10" s="40">
        <f>[4]Esquad!$AL$55</f>
        <v>0</v>
      </c>
      <c r="AM10" s="40">
        <f>[4]Esquad!$AM$55</f>
        <v>0</v>
      </c>
      <c r="AN10" s="40">
        <f>[4]Esquad!$AN$55</f>
        <v>0</v>
      </c>
      <c r="AO10" s="40">
        <f>[4]Esquad!$AO$55</f>
        <v>0</v>
      </c>
      <c r="AP10" s="40">
        <f>[4]Esquad!$AP$55</f>
        <v>0</v>
      </c>
      <c r="AQ10" s="40">
        <f>[4]Esquad!$AQ$55</f>
        <v>0</v>
      </c>
      <c r="AR10" s="40">
        <f>[4]Esquad!$AR$55</f>
        <v>0</v>
      </c>
    </row>
    <row r="11" spans="1:45">
      <c r="A11" s="34" t="s">
        <v>241</v>
      </c>
      <c r="B11" s="40">
        <f>[5]Esquad!$B$55</f>
        <v>0</v>
      </c>
      <c r="C11" s="40">
        <f>[5]Esquad!$C$55</f>
        <v>0</v>
      </c>
      <c r="D11" s="21">
        <f>[5]Esquad!$D$55</f>
        <v>7</v>
      </c>
      <c r="E11" s="21">
        <f>[5]Esquad!$E$55</f>
        <v>1</v>
      </c>
      <c r="F11" s="21">
        <f>[5]Esquad!$F$55</f>
        <v>1</v>
      </c>
      <c r="G11" s="21">
        <f>[5]Esquad!$G$55</f>
        <v>1</v>
      </c>
      <c r="H11" s="21">
        <f>[5]Esquad!$H$55</f>
        <v>1</v>
      </c>
      <c r="I11" s="40">
        <f>[5]Esquad!$I$55</f>
        <v>0</v>
      </c>
      <c r="J11" s="21">
        <f>[5]Esquad!$J$55</f>
        <v>1</v>
      </c>
      <c r="K11" s="21">
        <f>[5]Esquad!$K$55</f>
        <v>1</v>
      </c>
      <c r="L11" s="21">
        <f>[5]Esquad!$L$55</f>
        <v>1</v>
      </c>
      <c r="M11" s="40">
        <f>[5]Esquad!$M$55</f>
        <v>0</v>
      </c>
      <c r="N11" s="40">
        <f>[5]Esquad!$N$55</f>
        <v>0</v>
      </c>
      <c r="O11" s="40">
        <f>[5]Esquad!$O$55</f>
        <v>0</v>
      </c>
      <c r="P11" s="40">
        <f>[5]Esquad!$P$55</f>
        <v>0</v>
      </c>
      <c r="Q11" s="21">
        <f>[5]Esquad!$Q$55</f>
        <v>3</v>
      </c>
      <c r="R11" s="40">
        <f>[5]Esquad!$R$55</f>
        <v>0</v>
      </c>
      <c r="S11" s="21">
        <f>[5]Esquad!$S$55</f>
        <v>2</v>
      </c>
      <c r="T11" s="40">
        <f>[5]Esquad!$T$55</f>
        <v>0</v>
      </c>
      <c r="V11" s="40">
        <f>[5]Esquad!$V$55</f>
        <v>0</v>
      </c>
      <c r="W11" s="40">
        <f>[5]Esquad!$W$55</f>
        <v>0</v>
      </c>
      <c r="X11" s="21">
        <f>[5]Esquad!$X$55</f>
        <v>3</v>
      </c>
      <c r="Y11" s="40">
        <f>[5]Esquad!$Y$55</f>
        <v>0</v>
      </c>
      <c r="Z11" s="40">
        <f>[5]Esquad!$Z$55</f>
        <v>0</v>
      </c>
      <c r="AA11" s="21">
        <f>[5]Esquad!$AA$55</f>
        <v>2</v>
      </c>
      <c r="AB11" s="40">
        <f>[5]Esquad!$AB$55</f>
        <v>0</v>
      </c>
      <c r="AC11" s="40">
        <f>[5]Esquad!$AC$55</f>
        <v>0</v>
      </c>
      <c r="AD11" s="40">
        <f>[5]Esquad!$AD$55</f>
        <v>0</v>
      </c>
      <c r="AE11" s="40">
        <f>[5]Esquad!$AE$55</f>
        <v>0</v>
      </c>
      <c r="AF11" s="21">
        <f>[5]Esquad!$AF$55</f>
        <v>1</v>
      </c>
      <c r="AG11" s="40">
        <f>[5]Esquad!$AG$55</f>
        <v>0</v>
      </c>
      <c r="AH11" s="40">
        <f>[5]Esquad!$AH$55</f>
        <v>0</v>
      </c>
      <c r="AI11" s="40">
        <f>[5]Esquad!$AI$55</f>
        <v>0</v>
      </c>
      <c r="AJ11" s="40">
        <f>[5]Esquad!$AJ$55</f>
        <v>0</v>
      </c>
      <c r="AK11" s="40">
        <f>[5]Esquad!$AK$55</f>
        <v>0</v>
      </c>
      <c r="AL11" s="40">
        <f>[5]Esquad!$AL$55</f>
        <v>0</v>
      </c>
      <c r="AM11" s="40">
        <f>[5]Esquad!$AM$55</f>
        <v>0</v>
      </c>
      <c r="AN11" s="40">
        <f>[5]Esquad!$AN$55</f>
        <v>0</v>
      </c>
      <c r="AO11" s="40">
        <f>[5]Esquad!$AO$55</f>
        <v>0</v>
      </c>
      <c r="AP11" s="40">
        <f>[5]Esquad!$AP$55</f>
        <v>0</v>
      </c>
      <c r="AQ11" s="40">
        <f>[5]Esquad!$AQ$55</f>
        <v>0</v>
      </c>
      <c r="AR11" s="40">
        <f>[5]Esquad!$AR$55</f>
        <v>0</v>
      </c>
    </row>
    <row r="12" spans="1:45">
      <c r="A12" s="34" t="s">
        <v>242</v>
      </c>
      <c r="B12" s="40">
        <f>[6]Esquad!$B$55</f>
        <v>0</v>
      </c>
      <c r="C12" s="40">
        <f>[6]Esquad!$C$55</f>
        <v>0</v>
      </c>
      <c r="D12" s="40">
        <f>[6]Esquad!$D$55</f>
        <v>0</v>
      </c>
      <c r="E12" s="40">
        <f>[6]Esquad!$E$55</f>
        <v>0</v>
      </c>
      <c r="F12" s="40">
        <f>[6]Esquad!$F$55</f>
        <v>0</v>
      </c>
      <c r="G12" s="40">
        <f>[6]Esquad!$G$55</f>
        <v>0</v>
      </c>
      <c r="H12" s="40">
        <f>[6]Esquad!$H$55</f>
        <v>0</v>
      </c>
      <c r="I12" s="40">
        <f>[6]Esquad!$I$55</f>
        <v>0</v>
      </c>
      <c r="J12" s="40">
        <f>[6]Esquad!$J$55</f>
        <v>0</v>
      </c>
      <c r="K12" s="40">
        <f>[6]Esquad!$K$55</f>
        <v>0</v>
      </c>
      <c r="L12" s="40">
        <f>[6]Esquad!$L$55</f>
        <v>0</v>
      </c>
      <c r="M12" s="21">
        <f>[6]Esquad!$M$55</f>
        <v>5</v>
      </c>
      <c r="N12" s="40">
        <f>[6]Esquad!$N$55</f>
        <v>0</v>
      </c>
      <c r="O12" s="40">
        <f>[6]Esquad!$O$55</f>
        <v>0</v>
      </c>
      <c r="P12" s="40">
        <f>[6]Esquad!$P$55</f>
        <v>0</v>
      </c>
      <c r="Q12" s="40">
        <f>[6]Esquad!$Q$55</f>
        <v>0</v>
      </c>
      <c r="R12" s="40">
        <f>[6]Esquad!$R$55</f>
        <v>0</v>
      </c>
      <c r="S12" s="40">
        <f>[6]Esquad!$S$55</f>
        <v>0</v>
      </c>
      <c r="T12" s="40">
        <f>[6]Esquad!$T$55</f>
        <v>0</v>
      </c>
      <c r="V12" s="40">
        <f>[6]Esquad!$V$55</f>
        <v>0</v>
      </c>
      <c r="W12" s="40">
        <f>[6]Esquad!$W$55</f>
        <v>0</v>
      </c>
      <c r="X12" s="40">
        <f>[6]Esquad!$X$55</f>
        <v>0</v>
      </c>
      <c r="Y12" s="40">
        <f>[6]Esquad!$Y$55</f>
        <v>0</v>
      </c>
      <c r="Z12" s="21">
        <f>[6]Esquad!$Z$55</f>
        <v>2</v>
      </c>
      <c r="AA12" s="40">
        <f>[6]Esquad!$AA$55</f>
        <v>0</v>
      </c>
      <c r="AB12" s="40">
        <f>[6]Esquad!$AB$55</f>
        <v>0</v>
      </c>
      <c r="AC12" s="40">
        <f>[6]Esquad!$AC$55</f>
        <v>0</v>
      </c>
      <c r="AD12" s="40">
        <f>[6]Esquad!$AD$55</f>
        <v>0</v>
      </c>
      <c r="AE12" s="40">
        <f>[6]Esquad!$AE$55</f>
        <v>0</v>
      </c>
      <c r="AF12" s="40">
        <f>[6]Esquad!$AF$55</f>
        <v>0</v>
      </c>
      <c r="AG12" s="40">
        <f>[6]Esquad!$AG$55</f>
        <v>0</v>
      </c>
      <c r="AH12" s="40">
        <f>[6]Esquad!$AH$55</f>
        <v>0</v>
      </c>
      <c r="AI12" s="40">
        <f>[6]Esquad!$AI$55</f>
        <v>0</v>
      </c>
      <c r="AJ12" s="40">
        <f>[6]Esquad!$AJ$55</f>
        <v>0</v>
      </c>
      <c r="AK12" s="40">
        <f>[6]Esquad!$AK$55</f>
        <v>0</v>
      </c>
      <c r="AL12" s="40">
        <f>[6]Esquad!$AL$55</f>
        <v>0</v>
      </c>
      <c r="AM12" s="40">
        <f>[6]Esquad!$AM$55</f>
        <v>0</v>
      </c>
      <c r="AN12" s="40">
        <f>[6]Esquad!$AN$55</f>
        <v>0</v>
      </c>
      <c r="AO12" s="40">
        <f>[6]Esquad!$AO$55</f>
        <v>0</v>
      </c>
      <c r="AP12" s="40">
        <f>[6]Esquad!$AP$55</f>
        <v>0</v>
      </c>
      <c r="AQ12" s="40">
        <f>[6]Esquad!$AQ$55</f>
        <v>0</v>
      </c>
      <c r="AR12" s="40">
        <f>[6]Esquad!$AR$55</f>
        <v>0</v>
      </c>
    </row>
    <row r="14" spans="1:45">
      <c r="A14" s="34" t="s">
        <v>27</v>
      </c>
      <c r="B14" s="21">
        <f>SUM(B7:B12)</f>
        <v>1</v>
      </c>
      <c r="C14" s="21">
        <f t="shared" ref="C14:T14" si="0">SUM(C7:C12)</f>
        <v>1</v>
      </c>
      <c r="D14" s="21">
        <f t="shared" si="0"/>
        <v>28</v>
      </c>
      <c r="E14" s="21">
        <f t="shared" si="0"/>
        <v>6</v>
      </c>
      <c r="F14" s="21">
        <f t="shared" si="0"/>
        <v>4</v>
      </c>
      <c r="G14" s="21">
        <f t="shared" si="0"/>
        <v>5</v>
      </c>
      <c r="H14" s="21">
        <f t="shared" si="0"/>
        <v>5</v>
      </c>
      <c r="I14" s="21">
        <f t="shared" si="0"/>
        <v>1</v>
      </c>
      <c r="J14" s="21">
        <f t="shared" si="0"/>
        <v>4</v>
      </c>
      <c r="K14" s="21">
        <f t="shared" si="0"/>
        <v>5</v>
      </c>
      <c r="L14" s="21">
        <f t="shared" si="0"/>
        <v>4</v>
      </c>
      <c r="M14" s="21">
        <f t="shared" si="0"/>
        <v>5</v>
      </c>
      <c r="N14" s="21">
        <f t="shared" si="0"/>
        <v>2</v>
      </c>
      <c r="O14" s="21">
        <f t="shared" si="0"/>
        <v>1</v>
      </c>
      <c r="P14" s="21">
        <f t="shared" si="0"/>
        <v>1</v>
      </c>
      <c r="Q14" s="21">
        <f t="shared" si="0"/>
        <v>10</v>
      </c>
      <c r="R14" s="21">
        <f t="shared" si="0"/>
        <v>1</v>
      </c>
      <c r="S14" s="21">
        <f t="shared" si="0"/>
        <v>8</v>
      </c>
      <c r="T14" s="21">
        <f t="shared" si="0"/>
        <v>1</v>
      </c>
      <c r="V14" s="21">
        <f t="shared" ref="V14:AR14" si="1">SUM(V7:V12)</f>
        <v>1</v>
      </c>
      <c r="W14" s="21">
        <f t="shared" si="1"/>
        <v>1</v>
      </c>
      <c r="X14" s="21">
        <f t="shared" si="1"/>
        <v>22</v>
      </c>
      <c r="Y14" s="21">
        <f t="shared" si="1"/>
        <v>25</v>
      </c>
      <c r="Z14" s="21">
        <f t="shared" si="1"/>
        <v>5</v>
      </c>
      <c r="AA14" s="21">
        <f t="shared" si="1"/>
        <v>25</v>
      </c>
      <c r="AB14" s="21">
        <f t="shared" si="1"/>
        <v>1</v>
      </c>
      <c r="AC14" s="21">
        <f t="shared" si="1"/>
        <v>1</v>
      </c>
      <c r="AD14" s="21">
        <f t="shared" si="1"/>
        <v>1</v>
      </c>
      <c r="AE14" s="21">
        <f t="shared" si="1"/>
        <v>1</v>
      </c>
      <c r="AF14" s="21">
        <f t="shared" si="1"/>
        <v>17</v>
      </c>
      <c r="AG14" s="21">
        <f t="shared" si="1"/>
        <v>1</v>
      </c>
      <c r="AH14" s="21">
        <f t="shared" si="1"/>
        <v>1</v>
      </c>
      <c r="AI14" s="21">
        <f t="shared" si="1"/>
        <v>2</v>
      </c>
      <c r="AJ14" s="21">
        <f t="shared" si="1"/>
        <v>2</v>
      </c>
      <c r="AK14" s="21">
        <f t="shared" si="1"/>
        <v>18</v>
      </c>
      <c r="AL14" s="21">
        <f t="shared" si="1"/>
        <v>4</v>
      </c>
      <c r="AM14" s="21">
        <f t="shared" si="1"/>
        <v>1</v>
      </c>
      <c r="AN14" s="21">
        <f t="shared" si="1"/>
        <v>13</v>
      </c>
      <c r="AO14" s="21">
        <f t="shared" si="1"/>
        <v>2</v>
      </c>
      <c r="AP14" s="21">
        <f t="shared" si="1"/>
        <v>1</v>
      </c>
      <c r="AQ14" s="21">
        <f t="shared" si="1"/>
        <v>1</v>
      </c>
      <c r="AR14" s="21">
        <f t="shared" si="1"/>
        <v>2</v>
      </c>
      <c r="AS14" s="42" t="s">
        <v>27</v>
      </c>
    </row>
    <row r="16" spans="1:45">
      <c r="V16" s="40"/>
      <c r="W16" s="40"/>
      <c r="X16" s="21"/>
      <c r="Y16" s="21"/>
      <c r="Z16" s="21"/>
      <c r="AA16" s="21"/>
      <c r="AB16" s="21"/>
      <c r="AC16" s="21"/>
      <c r="AD16" s="21"/>
      <c r="AE16" s="21"/>
      <c r="AF16" s="21"/>
      <c r="AG16" s="40"/>
      <c r="AH16" s="40"/>
      <c r="AI16" s="40"/>
      <c r="AJ16" s="40"/>
      <c r="AK16" s="21"/>
      <c r="AL16" s="21"/>
      <c r="AM16" s="40"/>
      <c r="AN16" s="40"/>
      <c r="AO16" s="21"/>
      <c r="AP16" s="40"/>
      <c r="AQ16" s="78"/>
      <c r="AR16" s="78"/>
    </row>
    <row r="18" spans="1:45">
      <c r="A18" s="41" t="s">
        <v>316</v>
      </c>
      <c r="B18" s="44">
        <f>7.75*3.1</f>
        <v>24.025000000000002</v>
      </c>
      <c r="C18" s="44">
        <f>5*1</f>
        <v>5</v>
      </c>
      <c r="D18" s="44">
        <f>2*1</f>
        <v>2</v>
      </c>
      <c r="E18" s="44">
        <f>2.75*1</f>
        <v>2.75</v>
      </c>
      <c r="F18" s="44">
        <f>7.1*1</f>
        <v>7.1</v>
      </c>
      <c r="G18" s="44">
        <f>4.15*1</f>
        <v>4.1500000000000004</v>
      </c>
      <c r="H18" s="44">
        <f>3.35*1</f>
        <v>3.35</v>
      </c>
      <c r="I18" s="44">
        <f>1.05*1.8</f>
        <v>1.8900000000000001</v>
      </c>
      <c r="J18" s="44">
        <f>11.55*1</f>
        <v>11.55</v>
      </c>
      <c r="K18" s="44">
        <f>13.9*1</f>
        <v>13.9</v>
      </c>
      <c r="L18" s="44">
        <f>1*0.8</f>
        <v>0.8</v>
      </c>
      <c r="M18" s="44">
        <f>1.5*1</f>
        <v>1.5</v>
      </c>
      <c r="N18" s="44">
        <f>2.2*1</f>
        <v>2.2000000000000002</v>
      </c>
      <c r="O18" s="44">
        <f>7.75*2.95</f>
        <v>22.862500000000001</v>
      </c>
      <c r="P18" s="44">
        <f>4.8*2.65</f>
        <v>12.719999999999999</v>
      </c>
      <c r="Q18" s="44">
        <f>3*1</f>
        <v>3</v>
      </c>
      <c r="R18" s="44">
        <f>4.5*1</f>
        <v>4.5</v>
      </c>
      <c r="S18" s="44">
        <f>1*0.8</f>
        <v>0.8</v>
      </c>
      <c r="T18" s="44">
        <f>7.75*6.4</f>
        <v>49.6</v>
      </c>
      <c r="V18" s="44">
        <f>4.8*2.65</f>
        <v>12.719999999999999</v>
      </c>
      <c r="W18" s="44">
        <f>5*2.65</f>
        <v>13.25</v>
      </c>
      <c r="X18" s="44">
        <f>2.1*2.1</f>
        <v>4.41</v>
      </c>
      <c r="Y18" s="44">
        <f>0.8*2.1</f>
        <v>1.6800000000000002</v>
      </c>
      <c r="Z18" s="44">
        <f>1.1*2.1</f>
        <v>2.3100000000000005</v>
      </c>
      <c r="AA18" s="44">
        <f>0.9*2.1</f>
        <v>1.8900000000000001</v>
      </c>
      <c r="AB18" s="44">
        <f>5*3.5</f>
        <v>17.5</v>
      </c>
      <c r="AC18" s="44">
        <f>1.6*2.1</f>
        <v>3.3600000000000003</v>
      </c>
      <c r="AD18" s="44">
        <f>3*2.1</f>
        <v>6.3000000000000007</v>
      </c>
      <c r="AE18" s="44">
        <f>7.7*3.5</f>
        <v>26.95</v>
      </c>
      <c r="AF18" s="44">
        <f>1.1*2.1</f>
        <v>2.3100000000000005</v>
      </c>
      <c r="AG18" s="44">
        <f>1.2*2.1</f>
        <v>2.52</v>
      </c>
      <c r="AH18" s="44">
        <f>0.8*2.1</f>
        <v>1.6800000000000002</v>
      </c>
      <c r="AI18" s="44">
        <f>0.8*2.1</f>
        <v>1.6800000000000002</v>
      </c>
      <c r="AJ18" s="44">
        <f>0.7*2.1</f>
        <v>1.47</v>
      </c>
      <c r="AK18" s="44">
        <f>0.6*1.5</f>
        <v>0.89999999999999991</v>
      </c>
      <c r="AL18" s="44">
        <f>0.9*1.8</f>
        <v>1.62</v>
      </c>
      <c r="AM18" s="44">
        <f>0.7*1.8</f>
        <v>1.26</v>
      </c>
      <c r="AN18" s="44">
        <f>0.9*2.1</f>
        <v>1.8900000000000001</v>
      </c>
      <c r="AO18" s="44">
        <f>2.1*2.1</f>
        <v>4.41</v>
      </c>
      <c r="AP18" s="44">
        <f>0.8*2.1</f>
        <v>1.6800000000000002</v>
      </c>
      <c r="AQ18" s="44">
        <f>0.9*2.1</f>
        <v>1.8900000000000001</v>
      </c>
      <c r="AR18" s="44">
        <f>1.55*2.1</f>
        <v>3.2550000000000003</v>
      </c>
      <c r="AS18" s="42" t="s">
        <v>316</v>
      </c>
    </row>
    <row r="19" spans="1:45">
      <c r="A19" s="41" t="s">
        <v>237</v>
      </c>
      <c r="B19" s="43">
        <f>B7*B$18</f>
        <v>0</v>
      </c>
      <c r="C19" s="43">
        <f t="shared" ref="C19:AP19" si="2">C7*C$18</f>
        <v>0</v>
      </c>
      <c r="D19" s="43">
        <f t="shared" si="2"/>
        <v>0</v>
      </c>
      <c r="E19" s="43">
        <f t="shared" si="2"/>
        <v>0</v>
      </c>
      <c r="F19" s="43">
        <f t="shared" si="2"/>
        <v>0</v>
      </c>
      <c r="G19" s="44">
        <f t="shared" si="2"/>
        <v>4.1500000000000004</v>
      </c>
      <c r="H19" s="44">
        <f t="shared" si="2"/>
        <v>3.35</v>
      </c>
      <c r="I19" s="43">
        <f t="shared" si="2"/>
        <v>0</v>
      </c>
      <c r="J19" s="43">
        <f t="shared" si="2"/>
        <v>0</v>
      </c>
      <c r="K19" s="44">
        <f t="shared" si="2"/>
        <v>13.9</v>
      </c>
      <c r="L19" s="43">
        <f t="shared" si="2"/>
        <v>0</v>
      </c>
      <c r="M19" s="43">
        <f t="shared" si="2"/>
        <v>0</v>
      </c>
      <c r="N19" s="43">
        <f t="shared" si="2"/>
        <v>0</v>
      </c>
      <c r="O19" s="43">
        <f t="shared" si="2"/>
        <v>0</v>
      </c>
      <c r="P19" s="43">
        <f t="shared" si="2"/>
        <v>0</v>
      </c>
      <c r="Q19" s="43">
        <f t="shared" si="2"/>
        <v>0</v>
      </c>
      <c r="R19" s="44">
        <f t="shared" si="2"/>
        <v>4.5</v>
      </c>
      <c r="S19" s="43">
        <f t="shared" si="2"/>
        <v>0</v>
      </c>
      <c r="T19" s="43">
        <f t="shared" ref="T19" si="3">T7*T$18</f>
        <v>0</v>
      </c>
      <c r="V19" s="43">
        <f t="shared" si="2"/>
        <v>0</v>
      </c>
      <c r="W19" s="43">
        <f t="shared" si="2"/>
        <v>0</v>
      </c>
      <c r="X19" s="44">
        <f t="shared" si="2"/>
        <v>13.23</v>
      </c>
      <c r="Y19" s="44">
        <f t="shared" si="2"/>
        <v>8.4</v>
      </c>
      <c r="Z19" s="44">
        <f t="shared" si="2"/>
        <v>6.9300000000000015</v>
      </c>
      <c r="AA19" s="44">
        <f t="shared" si="2"/>
        <v>3.7800000000000002</v>
      </c>
      <c r="AB19" s="44">
        <f t="shared" si="2"/>
        <v>17.5</v>
      </c>
      <c r="AC19" s="44">
        <f t="shared" si="2"/>
        <v>3.3600000000000003</v>
      </c>
      <c r="AD19" s="44">
        <f t="shared" si="2"/>
        <v>6.3000000000000007</v>
      </c>
      <c r="AE19" s="44">
        <f t="shared" si="2"/>
        <v>26.95</v>
      </c>
      <c r="AF19" s="44">
        <f t="shared" si="2"/>
        <v>2.3100000000000005</v>
      </c>
      <c r="AG19" s="43">
        <f t="shared" si="2"/>
        <v>0</v>
      </c>
      <c r="AH19" s="43">
        <f t="shared" si="2"/>
        <v>0</v>
      </c>
      <c r="AI19" s="43">
        <f t="shared" si="2"/>
        <v>0</v>
      </c>
      <c r="AJ19" s="43">
        <f t="shared" si="2"/>
        <v>0</v>
      </c>
      <c r="AK19" s="44">
        <f t="shared" si="2"/>
        <v>9.8999999999999986</v>
      </c>
      <c r="AL19" s="44">
        <f t="shared" si="2"/>
        <v>3.24</v>
      </c>
      <c r="AM19" s="43">
        <f t="shared" si="2"/>
        <v>0</v>
      </c>
      <c r="AN19" s="43">
        <f t="shared" si="2"/>
        <v>0</v>
      </c>
      <c r="AO19" s="44">
        <f t="shared" si="2"/>
        <v>8.82</v>
      </c>
      <c r="AP19" s="43">
        <f t="shared" si="2"/>
        <v>0</v>
      </c>
      <c r="AQ19" s="43">
        <f t="shared" ref="AQ19:AR19" si="4">AQ7*AQ$18</f>
        <v>0</v>
      </c>
      <c r="AR19" s="44">
        <f t="shared" si="4"/>
        <v>6.5100000000000007</v>
      </c>
      <c r="AS19" s="42" t="s">
        <v>237</v>
      </c>
    </row>
    <row r="20" spans="1:45">
      <c r="A20" s="41" t="s">
        <v>238</v>
      </c>
      <c r="B20" s="43">
        <f t="shared" ref="B20:S20" si="5">B8*B$18</f>
        <v>0</v>
      </c>
      <c r="C20" s="44">
        <f t="shared" si="5"/>
        <v>5</v>
      </c>
      <c r="D20" s="44">
        <f t="shared" si="5"/>
        <v>14</v>
      </c>
      <c r="E20" s="44">
        <f t="shared" si="5"/>
        <v>2.75</v>
      </c>
      <c r="F20" s="44">
        <f t="shared" si="5"/>
        <v>7.1</v>
      </c>
      <c r="G20" s="44">
        <f t="shared" si="5"/>
        <v>4.1500000000000004</v>
      </c>
      <c r="H20" s="44">
        <f t="shared" si="5"/>
        <v>3.35</v>
      </c>
      <c r="I20" s="44">
        <f t="shared" si="5"/>
        <v>1.8900000000000001</v>
      </c>
      <c r="J20" s="44">
        <f t="shared" si="5"/>
        <v>11.55</v>
      </c>
      <c r="K20" s="44">
        <f t="shared" si="5"/>
        <v>13.9</v>
      </c>
      <c r="L20" s="44">
        <f t="shared" si="5"/>
        <v>0.8</v>
      </c>
      <c r="M20" s="43">
        <f t="shared" si="5"/>
        <v>0</v>
      </c>
      <c r="N20" s="44">
        <f t="shared" si="5"/>
        <v>4.4000000000000004</v>
      </c>
      <c r="O20" s="44">
        <f t="shared" si="5"/>
        <v>22.862500000000001</v>
      </c>
      <c r="P20" s="44">
        <f t="shared" si="5"/>
        <v>12.719999999999999</v>
      </c>
      <c r="Q20" s="44">
        <f t="shared" si="5"/>
        <v>3</v>
      </c>
      <c r="R20" s="43">
        <f t="shared" si="5"/>
        <v>0</v>
      </c>
      <c r="S20" s="44">
        <f t="shared" si="5"/>
        <v>1.6</v>
      </c>
      <c r="T20" s="43">
        <f t="shared" ref="T20" si="6">T8*T$18</f>
        <v>0</v>
      </c>
      <c r="V20" s="44">
        <f t="shared" ref="V20:AP20" si="7">V8*V$18</f>
        <v>12.719999999999999</v>
      </c>
      <c r="W20" s="44">
        <f t="shared" si="7"/>
        <v>13.25</v>
      </c>
      <c r="X20" s="44">
        <f t="shared" si="7"/>
        <v>26.46</v>
      </c>
      <c r="Y20" s="44">
        <f t="shared" si="7"/>
        <v>23.520000000000003</v>
      </c>
      <c r="Z20" s="43">
        <f t="shared" si="7"/>
        <v>0</v>
      </c>
      <c r="AA20" s="44">
        <f t="shared" si="7"/>
        <v>13.23</v>
      </c>
      <c r="AB20" s="43">
        <f t="shared" si="7"/>
        <v>0</v>
      </c>
      <c r="AC20" s="43">
        <f t="shared" si="7"/>
        <v>0</v>
      </c>
      <c r="AD20" s="43">
        <f t="shared" si="7"/>
        <v>0</v>
      </c>
      <c r="AE20" s="43">
        <f t="shared" si="7"/>
        <v>0</v>
      </c>
      <c r="AF20" s="44">
        <f t="shared" si="7"/>
        <v>23.100000000000005</v>
      </c>
      <c r="AG20" s="44">
        <f t="shared" si="7"/>
        <v>2.52</v>
      </c>
      <c r="AH20" s="44">
        <f t="shared" si="7"/>
        <v>1.6800000000000002</v>
      </c>
      <c r="AI20" s="43">
        <f t="shared" si="7"/>
        <v>0</v>
      </c>
      <c r="AJ20" s="43">
        <f t="shared" si="7"/>
        <v>0</v>
      </c>
      <c r="AK20" s="44">
        <f t="shared" si="7"/>
        <v>6.2999999999999989</v>
      </c>
      <c r="AL20" s="44">
        <f t="shared" si="7"/>
        <v>3.24</v>
      </c>
      <c r="AM20" s="44">
        <f t="shared" si="7"/>
        <v>1.26</v>
      </c>
      <c r="AN20" s="44">
        <f t="shared" si="7"/>
        <v>22.68</v>
      </c>
      <c r="AO20" s="43">
        <f t="shared" si="7"/>
        <v>0</v>
      </c>
      <c r="AP20" s="44">
        <f t="shared" si="7"/>
        <v>1.6800000000000002</v>
      </c>
      <c r="AQ20" s="43">
        <f t="shared" ref="AQ20:AR20" si="8">AQ8*AQ$18</f>
        <v>0</v>
      </c>
      <c r="AR20" s="43">
        <f t="shared" si="8"/>
        <v>0</v>
      </c>
      <c r="AS20" s="42" t="s">
        <v>238</v>
      </c>
    </row>
    <row r="21" spans="1:45">
      <c r="A21" s="41" t="s">
        <v>239</v>
      </c>
      <c r="B21" s="44">
        <f t="shared" ref="B21:S21" si="9">B9*B$18</f>
        <v>24.025000000000002</v>
      </c>
      <c r="C21" s="43">
        <f t="shared" si="9"/>
        <v>0</v>
      </c>
      <c r="D21" s="44">
        <f t="shared" si="9"/>
        <v>14</v>
      </c>
      <c r="E21" s="44">
        <f t="shared" si="9"/>
        <v>8.25</v>
      </c>
      <c r="F21" s="44">
        <f t="shared" si="9"/>
        <v>7.1</v>
      </c>
      <c r="G21" s="44">
        <f t="shared" si="9"/>
        <v>4.1500000000000004</v>
      </c>
      <c r="H21" s="44">
        <f t="shared" si="9"/>
        <v>3.35</v>
      </c>
      <c r="I21" s="43">
        <f t="shared" si="9"/>
        <v>0</v>
      </c>
      <c r="J21" s="44">
        <f t="shared" si="9"/>
        <v>11.55</v>
      </c>
      <c r="K21" s="44">
        <f t="shared" si="9"/>
        <v>13.9</v>
      </c>
      <c r="L21" s="44">
        <f t="shared" si="9"/>
        <v>0.8</v>
      </c>
      <c r="M21" s="43">
        <f t="shared" si="9"/>
        <v>0</v>
      </c>
      <c r="N21" s="43">
        <f t="shared" si="9"/>
        <v>0</v>
      </c>
      <c r="O21" s="43">
        <f t="shared" si="9"/>
        <v>0</v>
      </c>
      <c r="P21" s="43">
        <f t="shared" si="9"/>
        <v>0</v>
      </c>
      <c r="Q21" s="44">
        <f t="shared" si="9"/>
        <v>9</v>
      </c>
      <c r="R21" s="43">
        <f t="shared" si="9"/>
        <v>0</v>
      </c>
      <c r="S21" s="44">
        <f t="shared" si="9"/>
        <v>1.6</v>
      </c>
      <c r="T21" s="43">
        <f t="shared" ref="T21" si="10">T9*T$18</f>
        <v>0</v>
      </c>
      <c r="V21" s="43">
        <f t="shared" ref="V21:AP21" si="11">V9*V$18</f>
        <v>0</v>
      </c>
      <c r="W21" s="43">
        <f t="shared" si="11"/>
        <v>0</v>
      </c>
      <c r="X21" s="44">
        <f t="shared" si="11"/>
        <v>30.87</v>
      </c>
      <c r="Y21" s="44">
        <f t="shared" si="11"/>
        <v>10.080000000000002</v>
      </c>
      <c r="Z21" s="43">
        <f t="shared" si="11"/>
        <v>0</v>
      </c>
      <c r="AA21" s="44">
        <f t="shared" si="11"/>
        <v>22.68</v>
      </c>
      <c r="AB21" s="43">
        <f t="shared" si="11"/>
        <v>0</v>
      </c>
      <c r="AC21" s="43">
        <f t="shared" si="11"/>
        <v>0</v>
      </c>
      <c r="AD21" s="43">
        <f t="shared" si="11"/>
        <v>0</v>
      </c>
      <c r="AE21" s="43">
        <f t="shared" si="11"/>
        <v>0</v>
      </c>
      <c r="AF21" s="44">
        <f t="shared" si="11"/>
        <v>11.550000000000002</v>
      </c>
      <c r="AG21" s="43">
        <f t="shared" si="11"/>
        <v>0</v>
      </c>
      <c r="AH21" s="43">
        <f t="shared" si="11"/>
        <v>0</v>
      </c>
      <c r="AI21" s="44">
        <f t="shared" si="11"/>
        <v>3.3600000000000003</v>
      </c>
      <c r="AJ21" s="44">
        <f t="shared" si="11"/>
        <v>2.94</v>
      </c>
      <c r="AK21" s="43">
        <f t="shared" si="11"/>
        <v>0</v>
      </c>
      <c r="AL21" s="43">
        <f t="shared" si="11"/>
        <v>0</v>
      </c>
      <c r="AM21" s="43">
        <f t="shared" si="11"/>
        <v>0</v>
      </c>
      <c r="AN21" s="44">
        <f t="shared" si="11"/>
        <v>1.8900000000000001</v>
      </c>
      <c r="AO21" s="43">
        <f t="shared" si="11"/>
        <v>0</v>
      </c>
      <c r="AP21" s="43">
        <f t="shared" si="11"/>
        <v>0</v>
      </c>
      <c r="AQ21" s="44">
        <f t="shared" ref="AQ21:AR21" si="12">AQ9*AQ$18</f>
        <v>1.8900000000000001</v>
      </c>
      <c r="AR21" s="43">
        <f t="shared" si="12"/>
        <v>0</v>
      </c>
      <c r="AS21" s="42" t="s">
        <v>239</v>
      </c>
    </row>
    <row r="22" spans="1:45">
      <c r="A22" s="41" t="s">
        <v>240</v>
      </c>
      <c r="B22" s="43">
        <f t="shared" ref="B22:S22" si="13">B10*B$18</f>
        <v>0</v>
      </c>
      <c r="C22" s="43">
        <f t="shared" si="13"/>
        <v>0</v>
      </c>
      <c r="D22" s="44">
        <f t="shared" si="13"/>
        <v>14</v>
      </c>
      <c r="E22" s="44">
        <f t="shared" si="13"/>
        <v>2.75</v>
      </c>
      <c r="F22" s="44">
        <f t="shared" si="13"/>
        <v>7.1</v>
      </c>
      <c r="G22" s="44">
        <f t="shared" si="13"/>
        <v>4.1500000000000004</v>
      </c>
      <c r="H22" s="44">
        <f t="shared" si="13"/>
        <v>3.35</v>
      </c>
      <c r="I22" s="43">
        <f t="shared" si="13"/>
        <v>0</v>
      </c>
      <c r="J22" s="44">
        <f t="shared" si="13"/>
        <v>11.55</v>
      </c>
      <c r="K22" s="44">
        <f t="shared" si="13"/>
        <v>13.9</v>
      </c>
      <c r="L22" s="44">
        <f t="shared" si="13"/>
        <v>0.8</v>
      </c>
      <c r="M22" s="43">
        <f t="shared" si="13"/>
        <v>0</v>
      </c>
      <c r="N22" s="43">
        <f t="shared" si="13"/>
        <v>0</v>
      </c>
      <c r="O22" s="43">
        <f t="shared" si="13"/>
        <v>0</v>
      </c>
      <c r="P22" s="43">
        <f t="shared" si="13"/>
        <v>0</v>
      </c>
      <c r="Q22" s="44">
        <f t="shared" si="13"/>
        <v>9</v>
      </c>
      <c r="R22" s="43">
        <f t="shared" si="13"/>
        <v>0</v>
      </c>
      <c r="S22" s="44">
        <f t="shared" si="13"/>
        <v>1.6</v>
      </c>
      <c r="T22" s="44">
        <f t="shared" ref="T22" si="14">T10*T$18</f>
        <v>49.6</v>
      </c>
      <c r="V22" s="43">
        <f t="shared" ref="V22:AP22" si="15">V10*V$18</f>
        <v>0</v>
      </c>
      <c r="W22" s="43">
        <f t="shared" si="15"/>
        <v>0</v>
      </c>
      <c r="X22" s="44">
        <f t="shared" si="15"/>
        <v>13.23</v>
      </c>
      <c r="Y22" s="43">
        <f t="shared" si="15"/>
        <v>0</v>
      </c>
      <c r="Z22" s="43">
        <f t="shared" si="15"/>
        <v>0</v>
      </c>
      <c r="AA22" s="44">
        <f t="shared" si="15"/>
        <v>3.7800000000000002</v>
      </c>
      <c r="AB22" s="43">
        <f t="shared" si="15"/>
        <v>0</v>
      </c>
      <c r="AC22" s="43">
        <f t="shared" si="15"/>
        <v>0</v>
      </c>
      <c r="AD22" s="43">
        <f t="shared" si="15"/>
        <v>0</v>
      </c>
      <c r="AE22" s="43">
        <f t="shared" si="15"/>
        <v>0</v>
      </c>
      <c r="AF22" s="43">
        <f t="shared" si="15"/>
        <v>0</v>
      </c>
      <c r="AG22" s="43">
        <f t="shared" si="15"/>
        <v>0</v>
      </c>
      <c r="AH22" s="43">
        <f t="shared" si="15"/>
        <v>0</v>
      </c>
      <c r="AI22" s="43">
        <f t="shared" si="15"/>
        <v>0</v>
      </c>
      <c r="AJ22" s="43">
        <f t="shared" si="15"/>
        <v>0</v>
      </c>
      <c r="AK22" s="43">
        <f t="shared" si="15"/>
        <v>0</v>
      </c>
      <c r="AL22" s="43">
        <f t="shared" si="15"/>
        <v>0</v>
      </c>
      <c r="AM22" s="43">
        <f t="shared" si="15"/>
        <v>0</v>
      </c>
      <c r="AN22" s="43">
        <f t="shared" si="15"/>
        <v>0</v>
      </c>
      <c r="AO22" s="43">
        <f t="shared" si="15"/>
        <v>0</v>
      </c>
      <c r="AP22" s="43">
        <f t="shared" si="15"/>
        <v>0</v>
      </c>
      <c r="AQ22" s="43">
        <f t="shared" ref="AQ22:AR22" si="16">AQ10*AQ$18</f>
        <v>0</v>
      </c>
      <c r="AR22" s="43">
        <f t="shared" si="16"/>
        <v>0</v>
      </c>
      <c r="AS22" s="42" t="s">
        <v>240</v>
      </c>
    </row>
    <row r="23" spans="1:45">
      <c r="A23" s="41" t="s">
        <v>241</v>
      </c>
      <c r="B23" s="43">
        <f t="shared" ref="B23:S23" si="17">B11*B$18</f>
        <v>0</v>
      </c>
      <c r="C23" s="43">
        <f t="shared" si="17"/>
        <v>0</v>
      </c>
      <c r="D23" s="44">
        <f t="shared" si="17"/>
        <v>14</v>
      </c>
      <c r="E23" s="44">
        <f t="shared" si="17"/>
        <v>2.75</v>
      </c>
      <c r="F23" s="44">
        <f t="shared" si="17"/>
        <v>7.1</v>
      </c>
      <c r="G23" s="44">
        <f t="shared" si="17"/>
        <v>4.1500000000000004</v>
      </c>
      <c r="H23" s="44">
        <f t="shared" si="17"/>
        <v>3.35</v>
      </c>
      <c r="I23" s="43">
        <f t="shared" si="17"/>
        <v>0</v>
      </c>
      <c r="J23" s="44">
        <f t="shared" si="17"/>
        <v>11.55</v>
      </c>
      <c r="K23" s="44">
        <f t="shared" si="17"/>
        <v>13.9</v>
      </c>
      <c r="L23" s="44">
        <f t="shared" si="17"/>
        <v>0.8</v>
      </c>
      <c r="M23" s="43">
        <f t="shared" si="17"/>
        <v>0</v>
      </c>
      <c r="N23" s="43">
        <f t="shared" si="17"/>
        <v>0</v>
      </c>
      <c r="O23" s="43">
        <f t="shared" si="17"/>
        <v>0</v>
      </c>
      <c r="P23" s="43">
        <f t="shared" si="17"/>
        <v>0</v>
      </c>
      <c r="Q23" s="44">
        <f t="shared" si="17"/>
        <v>9</v>
      </c>
      <c r="R23" s="43">
        <f t="shared" si="17"/>
        <v>0</v>
      </c>
      <c r="S23" s="44">
        <f t="shared" si="17"/>
        <v>1.6</v>
      </c>
      <c r="T23" s="43">
        <f t="shared" ref="T23" si="18">T11*T$18</f>
        <v>0</v>
      </c>
      <c r="V23" s="43">
        <f t="shared" ref="V23:AP23" si="19">V11*V$18</f>
        <v>0</v>
      </c>
      <c r="W23" s="43">
        <f t="shared" si="19"/>
        <v>0</v>
      </c>
      <c r="X23" s="44">
        <f t="shared" si="19"/>
        <v>13.23</v>
      </c>
      <c r="Y23" s="43">
        <f t="shared" si="19"/>
        <v>0</v>
      </c>
      <c r="Z23" s="43">
        <f t="shared" si="19"/>
        <v>0</v>
      </c>
      <c r="AA23" s="44">
        <f t="shared" si="19"/>
        <v>3.7800000000000002</v>
      </c>
      <c r="AB23" s="43">
        <f t="shared" si="19"/>
        <v>0</v>
      </c>
      <c r="AC23" s="43">
        <f t="shared" si="19"/>
        <v>0</v>
      </c>
      <c r="AD23" s="43">
        <f t="shared" si="19"/>
        <v>0</v>
      </c>
      <c r="AE23" s="43">
        <f t="shared" si="19"/>
        <v>0</v>
      </c>
      <c r="AF23" s="44">
        <f t="shared" si="19"/>
        <v>2.3100000000000005</v>
      </c>
      <c r="AG23" s="43">
        <f t="shared" si="19"/>
        <v>0</v>
      </c>
      <c r="AH23" s="43">
        <f t="shared" si="19"/>
        <v>0</v>
      </c>
      <c r="AI23" s="43">
        <f t="shared" si="19"/>
        <v>0</v>
      </c>
      <c r="AJ23" s="43">
        <f t="shared" si="19"/>
        <v>0</v>
      </c>
      <c r="AK23" s="43">
        <f t="shared" si="19"/>
        <v>0</v>
      </c>
      <c r="AL23" s="43">
        <f t="shared" si="19"/>
        <v>0</v>
      </c>
      <c r="AM23" s="43">
        <f t="shared" si="19"/>
        <v>0</v>
      </c>
      <c r="AN23" s="43">
        <f t="shared" si="19"/>
        <v>0</v>
      </c>
      <c r="AO23" s="43">
        <f t="shared" si="19"/>
        <v>0</v>
      </c>
      <c r="AP23" s="43">
        <f t="shared" si="19"/>
        <v>0</v>
      </c>
      <c r="AQ23" s="43">
        <f t="shared" ref="AQ23:AR23" si="20">AQ11*AQ$18</f>
        <v>0</v>
      </c>
      <c r="AR23" s="43">
        <f t="shared" si="20"/>
        <v>0</v>
      </c>
      <c r="AS23" s="42" t="s">
        <v>241</v>
      </c>
    </row>
    <row r="24" spans="1:45">
      <c r="A24" s="41" t="s">
        <v>242</v>
      </c>
      <c r="B24" s="43">
        <f t="shared" ref="B24:S24" si="21">B12*B$18</f>
        <v>0</v>
      </c>
      <c r="C24" s="43">
        <f t="shared" si="21"/>
        <v>0</v>
      </c>
      <c r="D24" s="43">
        <f t="shared" si="21"/>
        <v>0</v>
      </c>
      <c r="E24" s="43">
        <f t="shared" si="21"/>
        <v>0</v>
      </c>
      <c r="F24" s="43">
        <f t="shared" si="21"/>
        <v>0</v>
      </c>
      <c r="G24" s="43">
        <f t="shared" si="21"/>
        <v>0</v>
      </c>
      <c r="H24" s="43">
        <f t="shared" si="21"/>
        <v>0</v>
      </c>
      <c r="I24" s="43">
        <f t="shared" si="21"/>
        <v>0</v>
      </c>
      <c r="J24" s="43">
        <f t="shared" si="21"/>
        <v>0</v>
      </c>
      <c r="K24" s="43">
        <f t="shared" si="21"/>
        <v>0</v>
      </c>
      <c r="L24" s="43">
        <f t="shared" si="21"/>
        <v>0</v>
      </c>
      <c r="M24" s="44">
        <f t="shared" si="21"/>
        <v>7.5</v>
      </c>
      <c r="N24" s="43">
        <f t="shared" si="21"/>
        <v>0</v>
      </c>
      <c r="O24" s="43">
        <f t="shared" si="21"/>
        <v>0</v>
      </c>
      <c r="P24" s="43">
        <f t="shared" si="21"/>
        <v>0</v>
      </c>
      <c r="Q24" s="43">
        <f t="shared" si="21"/>
        <v>0</v>
      </c>
      <c r="R24" s="43">
        <f t="shared" si="21"/>
        <v>0</v>
      </c>
      <c r="S24" s="43">
        <f t="shared" si="21"/>
        <v>0</v>
      </c>
      <c r="T24" s="43">
        <f t="shared" ref="T24" si="22">T12*T$18</f>
        <v>0</v>
      </c>
      <c r="V24" s="43">
        <f t="shared" ref="V24:AP24" si="23">V12*V$18</f>
        <v>0</v>
      </c>
      <c r="W24" s="43">
        <f t="shared" si="23"/>
        <v>0</v>
      </c>
      <c r="X24" s="43">
        <f t="shared" si="23"/>
        <v>0</v>
      </c>
      <c r="Y24" s="43">
        <f t="shared" si="23"/>
        <v>0</v>
      </c>
      <c r="Z24" s="44">
        <f t="shared" si="23"/>
        <v>4.620000000000001</v>
      </c>
      <c r="AA24" s="43">
        <f t="shared" si="23"/>
        <v>0</v>
      </c>
      <c r="AB24" s="43">
        <f t="shared" si="23"/>
        <v>0</v>
      </c>
      <c r="AC24" s="43">
        <f t="shared" si="23"/>
        <v>0</v>
      </c>
      <c r="AD24" s="43">
        <f t="shared" si="23"/>
        <v>0</v>
      </c>
      <c r="AE24" s="43">
        <f t="shared" si="23"/>
        <v>0</v>
      </c>
      <c r="AF24" s="43">
        <f t="shared" si="23"/>
        <v>0</v>
      </c>
      <c r="AG24" s="43">
        <f t="shared" si="23"/>
        <v>0</v>
      </c>
      <c r="AH24" s="43">
        <f t="shared" si="23"/>
        <v>0</v>
      </c>
      <c r="AI24" s="43">
        <f t="shared" si="23"/>
        <v>0</v>
      </c>
      <c r="AJ24" s="43">
        <f t="shared" si="23"/>
        <v>0</v>
      </c>
      <c r="AK24" s="43">
        <f t="shared" si="23"/>
        <v>0</v>
      </c>
      <c r="AL24" s="43">
        <f t="shared" si="23"/>
        <v>0</v>
      </c>
      <c r="AM24" s="43">
        <f t="shared" si="23"/>
        <v>0</v>
      </c>
      <c r="AN24" s="43">
        <f t="shared" si="23"/>
        <v>0</v>
      </c>
      <c r="AO24" s="43">
        <f t="shared" si="23"/>
        <v>0</v>
      </c>
      <c r="AP24" s="43">
        <f t="shared" si="23"/>
        <v>0</v>
      </c>
      <c r="AQ24" s="43">
        <f t="shared" ref="AQ24:AR24" si="24">AQ12*AQ$18</f>
        <v>0</v>
      </c>
      <c r="AR24" s="43">
        <f t="shared" si="24"/>
        <v>0</v>
      </c>
      <c r="AS24" s="42" t="s">
        <v>242</v>
      </c>
    </row>
    <row r="26" spans="1:45">
      <c r="A26" s="41" t="s">
        <v>27</v>
      </c>
      <c r="B26" s="44">
        <f>SUM(B19:B24)</f>
        <v>24.025000000000002</v>
      </c>
      <c r="C26" s="44">
        <f t="shared" ref="C26:AR26" si="25">SUM(C19:C24)</f>
        <v>5</v>
      </c>
      <c r="D26" s="44">
        <f t="shared" si="25"/>
        <v>56</v>
      </c>
      <c r="E26" s="44">
        <f t="shared" si="25"/>
        <v>16.5</v>
      </c>
      <c r="F26" s="44">
        <f t="shared" si="25"/>
        <v>28.4</v>
      </c>
      <c r="G26" s="44">
        <f t="shared" si="25"/>
        <v>20.75</v>
      </c>
      <c r="H26" s="44">
        <f t="shared" si="25"/>
        <v>16.75</v>
      </c>
      <c r="I26" s="44">
        <f t="shared" si="25"/>
        <v>1.8900000000000001</v>
      </c>
      <c r="J26" s="44">
        <f t="shared" si="25"/>
        <v>46.2</v>
      </c>
      <c r="K26" s="44">
        <f t="shared" si="25"/>
        <v>69.5</v>
      </c>
      <c r="L26" s="44">
        <f t="shared" si="25"/>
        <v>3.2</v>
      </c>
      <c r="M26" s="44">
        <f t="shared" si="25"/>
        <v>7.5</v>
      </c>
      <c r="N26" s="44">
        <f t="shared" si="25"/>
        <v>4.4000000000000004</v>
      </c>
      <c r="O26" s="44">
        <f t="shared" si="25"/>
        <v>22.862500000000001</v>
      </c>
      <c r="P26" s="44">
        <f t="shared" si="25"/>
        <v>12.719999999999999</v>
      </c>
      <c r="Q26" s="44">
        <f t="shared" si="25"/>
        <v>30</v>
      </c>
      <c r="R26" s="44">
        <f t="shared" si="25"/>
        <v>4.5</v>
      </c>
      <c r="S26" s="44">
        <f t="shared" si="25"/>
        <v>6.4</v>
      </c>
      <c r="T26" s="44">
        <f t="shared" ref="T26" si="26">SUM(T19:T24)</f>
        <v>49.6</v>
      </c>
      <c r="V26" s="44">
        <f t="shared" si="25"/>
        <v>12.719999999999999</v>
      </c>
      <c r="W26" s="44">
        <f t="shared" si="25"/>
        <v>13.25</v>
      </c>
      <c r="X26" s="44">
        <f t="shared" si="25"/>
        <v>97.02000000000001</v>
      </c>
      <c r="Y26" s="44">
        <f t="shared" si="25"/>
        <v>42</v>
      </c>
      <c r="Z26" s="44">
        <f t="shared" si="25"/>
        <v>11.550000000000002</v>
      </c>
      <c r="AA26" s="44">
        <f t="shared" si="25"/>
        <v>47.25</v>
      </c>
      <c r="AB26" s="44">
        <f t="shared" si="25"/>
        <v>17.5</v>
      </c>
      <c r="AC26" s="44">
        <f t="shared" si="25"/>
        <v>3.3600000000000003</v>
      </c>
      <c r="AD26" s="44">
        <f t="shared" si="25"/>
        <v>6.3000000000000007</v>
      </c>
      <c r="AE26" s="44">
        <f t="shared" si="25"/>
        <v>26.95</v>
      </c>
      <c r="AF26" s="44">
        <f t="shared" si="25"/>
        <v>39.27000000000001</v>
      </c>
      <c r="AG26" s="44">
        <f t="shared" si="25"/>
        <v>2.52</v>
      </c>
      <c r="AH26" s="44">
        <f t="shared" si="25"/>
        <v>1.6800000000000002</v>
      </c>
      <c r="AI26" s="44">
        <f t="shared" si="25"/>
        <v>3.3600000000000003</v>
      </c>
      <c r="AJ26" s="44">
        <f t="shared" si="25"/>
        <v>2.94</v>
      </c>
      <c r="AK26" s="44">
        <f t="shared" si="25"/>
        <v>16.199999999999996</v>
      </c>
      <c r="AL26" s="44">
        <f t="shared" si="25"/>
        <v>6.48</v>
      </c>
      <c r="AM26" s="44">
        <f t="shared" si="25"/>
        <v>1.26</v>
      </c>
      <c r="AN26" s="44">
        <f t="shared" si="25"/>
        <v>24.57</v>
      </c>
      <c r="AO26" s="44">
        <f t="shared" si="25"/>
        <v>8.82</v>
      </c>
      <c r="AP26" s="44">
        <f t="shared" si="25"/>
        <v>1.6800000000000002</v>
      </c>
      <c r="AQ26" s="44">
        <f t="shared" si="25"/>
        <v>1.8900000000000001</v>
      </c>
      <c r="AR26" s="44">
        <f t="shared" si="25"/>
        <v>6.5100000000000007</v>
      </c>
      <c r="AS26" s="42" t="s">
        <v>27</v>
      </c>
    </row>
    <row r="27" spans="1:45" ht="15" customHeight="1">
      <c r="A27" s="66" t="s">
        <v>318</v>
      </c>
      <c r="B27" s="44">
        <f>IF(B$5="Pele de Vidro",B$26,0)</f>
        <v>24.025000000000002</v>
      </c>
      <c r="C27" s="44">
        <f t="shared" ref="C27:T27" si="27">IF(C$5="Pele de Vidro",C$26,0)</f>
        <v>5</v>
      </c>
      <c r="D27" s="44">
        <f t="shared" si="27"/>
        <v>0</v>
      </c>
      <c r="E27" s="44">
        <f t="shared" si="27"/>
        <v>0</v>
      </c>
      <c r="F27" s="44">
        <f t="shared" si="27"/>
        <v>28.4</v>
      </c>
      <c r="G27" s="44">
        <f t="shared" si="27"/>
        <v>20.75</v>
      </c>
      <c r="H27" s="44">
        <f t="shared" si="27"/>
        <v>16.75</v>
      </c>
      <c r="I27" s="44">
        <f t="shared" si="27"/>
        <v>0</v>
      </c>
      <c r="J27" s="44">
        <f t="shared" si="27"/>
        <v>46.2</v>
      </c>
      <c r="K27" s="44">
        <f t="shared" si="27"/>
        <v>69.5</v>
      </c>
      <c r="L27" s="44">
        <f t="shared" si="27"/>
        <v>0</v>
      </c>
      <c r="M27" s="44">
        <f t="shared" si="27"/>
        <v>0</v>
      </c>
      <c r="N27" s="44">
        <f t="shared" si="27"/>
        <v>0</v>
      </c>
      <c r="O27" s="44">
        <f t="shared" si="27"/>
        <v>22.862500000000001</v>
      </c>
      <c r="P27" s="44">
        <f t="shared" si="27"/>
        <v>12.719999999999999</v>
      </c>
      <c r="Q27" s="44">
        <f t="shared" si="27"/>
        <v>0</v>
      </c>
      <c r="R27" s="44">
        <f t="shared" si="27"/>
        <v>4.5</v>
      </c>
      <c r="S27" s="44">
        <f t="shared" si="27"/>
        <v>0</v>
      </c>
      <c r="T27" s="44">
        <f t="shared" si="27"/>
        <v>49.6</v>
      </c>
      <c r="V27" s="21">
        <f>IF(V$5="Madeira com Visor",V$14,0)</f>
        <v>0</v>
      </c>
      <c r="W27" s="21">
        <f t="shared" ref="W27:AR27" si="28">IF(W$5="Madeira com Visor",W$14,0)</f>
        <v>0</v>
      </c>
      <c r="X27" s="21">
        <f t="shared" si="28"/>
        <v>0</v>
      </c>
      <c r="Y27" s="21">
        <f t="shared" si="28"/>
        <v>0</v>
      </c>
      <c r="Z27" s="21">
        <f t="shared" si="28"/>
        <v>0</v>
      </c>
      <c r="AA27" s="21">
        <f t="shared" si="28"/>
        <v>0</v>
      </c>
      <c r="AB27" s="21">
        <f t="shared" si="28"/>
        <v>0</v>
      </c>
      <c r="AC27" s="21">
        <f t="shared" si="28"/>
        <v>0</v>
      </c>
      <c r="AD27" s="21">
        <f t="shared" si="28"/>
        <v>0</v>
      </c>
      <c r="AE27" s="21">
        <f t="shared" si="28"/>
        <v>0</v>
      </c>
      <c r="AF27" s="21">
        <f t="shared" si="28"/>
        <v>0</v>
      </c>
      <c r="AG27" s="21">
        <f t="shared" si="28"/>
        <v>0</v>
      </c>
      <c r="AH27" s="21">
        <f t="shared" si="28"/>
        <v>1</v>
      </c>
      <c r="AI27" s="21">
        <f t="shared" si="28"/>
        <v>0</v>
      </c>
      <c r="AJ27" s="21">
        <f t="shared" si="28"/>
        <v>0</v>
      </c>
      <c r="AK27" s="21">
        <f t="shared" si="28"/>
        <v>0</v>
      </c>
      <c r="AL27" s="21">
        <f t="shared" si="28"/>
        <v>0</v>
      </c>
      <c r="AM27" s="21">
        <f t="shared" si="28"/>
        <v>0</v>
      </c>
      <c r="AN27" s="21">
        <f t="shared" si="28"/>
        <v>0</v>
      </c>
      <c r="AO27" s="21">
        <f t="shared" si="28"/>
        <v>0</v>
      </c>
      <c r="AP27" s="21">
        <f t="shared" si="28"/>
        <v>0</v>
      </c>
      <c r="AQ27" s="21">
        <f t="shared" si="28"/>
        <v>0</v>
      </c>
      <c r="AR27" s="21">
        <f t="shared" si="28"/>
        <v>0</v>
      </c>
      <c r="AS27" s="66" t="s">
        <v>322</v>
      </c>
    </row>
    <row r="28" spans="1:45" ht="30" customHeight="1">
      <c r="A28" s="67"/>
      <c r="B28" s="55">
        <f>SUM(B27:T27)</f>
        <v>300.3075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56"/>
      <c r="V28" s="71">
        <f>SUM(V27:AR27)</f>
        <v>1</v>
      </c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3"/>
      <c r="AS28" s="67"/>
    </row>
    <row r="29" spans="1:45" ht="15" customHeight="1">
      <c r="A29" s="66" t="s">
        <v>319</v>
      </c>
      <c r="B29" s="79">
        <f>IF(B$5="Vidro Aramado",B$26,0)</f>
        <v>0</v>
      </c>
      <c r="C29" s="79">
        <f t="shared" ref="C29:T29" si="29">IF(C$5="Vidro Aramado",C$26,0)</f>
        <v>0</v>
      </c>
      <c r="D29" s="79">
        <f t="shared" si="29"/>
        <v>0</v>
      </c>
      <c r="E29" s="79">
        <f t="shared" si="29"/>
        <v>16.5</v>
      </c>
      <c r="F29" s="79">
        <f t="shared" si="29"/>
        <v>0</v>
      </c>
      <c r="G29" s="79">
        <f t="shared" si="29"/>
        <v>0</v>
      </c>
      <c r="H29" s="79">
        <f t="shared" si="29"/>
        <v>0</v>
      </c>
      <c r="I29" s="79">
        <f t="shared" si="29"/>
        <v>0</v>
      </c>
      <c r="J29" s="79">
        <f t="shared" si="29"/>
        <v>0</v>
      </c>
      <c r="K29" s="79">
        <f t="shared" si="29"/>
        <v>0</v>
      </c>
      <c r="L29" s="79">
        <f t="shared" si="29"/>
        <v>0</v>
      </c>
      <c r="M29" s="79">
        <f t="shared" si="29"/>
        <v>0</v>
      </c>
      <c r="N29" s="79">
        <f t="shared" si="29"/>
        <v>4.4000000000000004</v>
      </c>
      <c r="O29" s="79">
        <f t="shared" si="29"/>
        <v>0</v>
      </c>
      <c r="P29" s="79">
        <f t="shared" si="29"/>
        <v>0</v>
      </c>
      <c r="Q29" s="79">
        <f t="shared" si="29"/>
        <v>0</v>
      </c>
      <c r="R29" s="79">
        <f t="shared" si="29"/>
        <v>0</v>
      </c>
      <c r="S29" s="79">
        <f t="shared" si="29"/>
        <v>6.4</v>
      </c>
      <c r="T29" s="79">
        <f t="shared" si="29"/>
        <v>0</v>
      </c>
      <c r="V29" s="21">
        <f>IF(V$5="Madeira Rev Chum",V$14,0)</f>
        <v>0</v>
      </c>
      <c r="W29" s="21">
        <f t="shared" ref="W29:AR29" si="30">IF(W$5="Madeira Rev Chum",W$14,0)</f>
        <v>0</v>
      </c>
      <c r="X29" s="21">
        <f t="shared" si="30"/>
        <v>0</v>
      </c>
      <c r="Y29" s="21">
        <f t="shared" si="30"/>
        <v>0</v>
      </c>
      <c r="Z29" s="21">
        <f t="shared" si="30"/>
        <v>0</v>
      </c>
      <c r="AA29" s="21">
        <f t="shared" si="30"/>
        <v>0</v>
      </c>
      <c r="AB29" s="21">
        <f t="shared" si="30"/>
        <v>0</v>
      </c>
      <c r="AC29" s="21">
        <f t="shared" si="30"/>
        <v>0</v>
      </c>
      <c r="AD29" s="21">
        <f t="shared" si="30"/>
        <v>0</v>
      </c>
      <c r="AE29" s="21">
        <f t="shared" si="30"/>
        <v>0</v>
      </c>
      <c r="AF29" s="21">
        <f t="shared" si="30"/>
        <v>0</v>
      </c>
      <c r="AG29" s="21">
        <f t="shared" si="30"/>
        <v>1</v>
      </c>
      <c r="AH29" s="21">
        <f t="shared" si="30"/>
        <v>0</v>
      </c>
      <c r="AI29" s="21">
        <f t="shared" si="30"/>
        <v>0</v>
      </c>
      <c r="AJ29" s="21">
        <f t="shared" si="30"/>
        <v>0</v>
      </c>
      <c r="AK29" s="21">
        <f t="shared" si="30"/>
        <v>0</v>
      </c>
      <c r="AL29" s="21">
        <f t="shared" si="30"/>
        <v>0</v>
      </c>
      <c r="AM29" s="21">
        <f t="shared" si="30"/>
        <v>0</v>
      </c>
      <c r="AN29" s="21">
        <f t="shared" si="30"/>
        <v>0</v>
      </c>
      <c r="AO29" s="21">
        <f t="shared" si="30"/>
        <v>0</v>
      </c>
      <c r="AP29" s="21">
        <f t="shared" si="30"/>
        <v>0</v>
      </c>
      <c r="AQ29" s="21">
        <f t="shared" si="30"/>
        <v>0</v>
      </c>
      <c r="AR29" s="21">
        <f t="shared" si="30"/>
        <v>0</v>
      </c>
      <c r="AS29" s="66" t="s">
        <v>323</v>
      </c>
    </row>
    <row r="30" spans="1:45" ht="30" customHeight="1">
      <c r="A30" s="67"/>
      <c r="B30" s="55">
        <f>SUM(B29:T29)</f>
        <v>27.299999999999997</v>
      </c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56"/>
      <c r="V30" s="71">
        <f>SUM(V29:AR29)</f>
        <v>1</v>
      </c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3"/>
      <c r="AS30" s="67"/>
    </row>
    <row r="31" spans="1:45" ht="15" customHeight="1">
      <c r="A31" s="66" t="s">
        <v>321</v>
      </c>
      <c r="B31" s="44">
        <f>IF(B$5="Vidro Temp.",B$26,0)</f>
        <v>0</v>
      </c>
      <c r="C31" s="44">
        <f t="shared" ref="C31:AR31" si="31">IF(C$5="Vidro Temp.",C$26,0)</f>
        <v>0</v>
      </c>
      <c r="D31" s="44">
        <f t="shared" si="31"/>
        <v>56</v>
      </c>
      <c r="E31" s="44">
        <f t="shared" si="31"/>
        <v>0</v>
      </c>
      <c r="F31" s="44">
        <f t="shared" si="31"/>
        <v>0</v>
      </c>
      <c r="G31" s="44">
        <f t="shared" si="31"/>
        <v>0</v>
      </c>
      <c r="H31" s="44">
        <f t="shared" si="31"/>
        <v>0</v>
      </c>
      <c r="I31" s="44">
        <f t="shared" si="31"/>
        <v>1.8900000000000001</v>
      </c>
      <c r="J31" s="44">
        <f t="shared" si="31"/>
        <v>0</v>
      </c>
      <c r="K31" s="44">
        <f t="shared" si="31"/>
        <v>0</v>
      </c>
      <c r="L31" s="44">
        <f t="shared" si="31"/>
        <v>3.2</v>
      </c>
      <c r="M31" s="44">
        <f t="shared" si="31"/>
        <v>0</v>
      </c>
      <c r="N31" s="44">
        <f t="shared" si="31"/>
        <v>0</v>
      </c>
      <c r="O31" s="44">
        <f t="shared" si="31"/>
        <v>0</v>
      </c>
      <c r="P31" s="44">
        <f t="shared" si="31"/>
        <v>0</v>
      </c>
      <c r="Q31" s="44">
        <f t="shared" si="31"/>
        <v>30</v>
      </c>
      <c r="R31" s="44">
        <f t="shared" si="31"/>
        <v>0</v>
      </c>
      <c r="S31" s="44">
        <f t="shared" si="31"/>
        <v>0</v>
      </c>
      <c r="T31" s="44">
        <f t="shared" si="31"/>
        <v>0</v>
      </c>
      <c r="V31" s="44">
        <f t="shared" si="31"/>
        <v>0</v>
      </c>
      <c r="W31" s="44">
        <f t="shared" si="31"/>
        <v>13.25</v>
      </c>
      <c r="X31" s="44">
        <f t="shared" si="31"/>
        <v>0</v>
      </c>
      <c r="Y31" s="44">
        <f t="shared" si="31"/>
        <v>0</v>
      </c>
      <c r="Z31" s="44">
        <f t="shared" si="31"/>
        <v>0</v>
      </c>
      <c r="AA31" s="44">
        <f t="shared" si="31"/>
        <v>0</v>
      </c>
      <c r="AB31" s="44">
        <f t="shared" si="31"/>
        <v>0</v>
      </c>
      <c r="AC31" s="44">
        <f t="shared" si="31"/>
        <v>0</v>
      </c>
      <c r="AD31" s="44">
        <f t="shared" si="31"/>
        <v>0</v>
      </c>
      <c r="AE31" s="44">
        <f t="shared" si="31"/>
        <v>0</v>
      </c>
      <c r="AF31" s="44">
        <f t="shared" si="31"/>
        <v>0</v>
      </c>
      <c r="AG31" s="44">
        <f t="shared" si="31"/>
        <v>0</v>
      </c>
      <c r="AH31" s="44">
        <f t="shared" si="31"/>
        <v>0</v>
      </c>
      <c r="AI31" s="44">
        <f t="shared" si="31"/>
        <v>0</v>
      </c>
      <c r="AJ31" s="44">
        <f t="shared" si="31"/>
        <v>0</v>
      </c>
      <c r="AK31" s="44">
        <f t="shared" si="31"/>
        <v>0</v>
      </c>
      <c r="AL31" s="44">
        <f t="shared" si="31"/>
        <v>0</v>
      </c>
      <c r="AM31" s="44">
        <f t="shared" si="31"/>
        <v>0</v>
      </c>
      <c r="AN31" s="44">
        <f t="shared" si="31"/>
        <v>0</v>
      </c>
      <c r="AO31" s="44">
        <f t="shared" si="31"/>
        <v>0</v>
      </c>
      <c r="AP31" s="44">
        <f t="shared" si="31"/>
        <v>1.6800000000000002</v>
      </c>
      <c r="AQ31" s="44">
        <f t="shared" si="31"/>
        <v>0</v>
      </c>
      <c r="AR31" s="44">
        <f t="shared" si="31"/>
        <v>0</v>
      </c>
      <c r="AS31" s="66" t="s">
        <v>321</v>
      </c>
    </row>
    <row r="32" spans="1:45" ht="30" customHeight="1">
      <c r="A32" s="67"/>
      <c r="B32" s="55">
        <f>SUM(B31:T31)</f>
        <v>91.09</v>
      </c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56"/>
      <c r="V32" s="55">
        <f>SUM(V31:AR31)</f>
        <v>14.93</v>
      </c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7"/>
    </row>
    <row r="33" spans="1:45" ht="15" customHeight="1">
      <c r="A33" s="66" t="s">
        <v>320</v>
      </c>
      <c r="B33" s="44">
        <f>IF(B$5="Aço Carb. Vid. Lam.",B$26,0)</f>
        <v>0</v>
      </c>
      <c r="C33" s="44">
        <f t="shared" ref="C33:T33" si="32">IF(C$5="Aço Carb. Vid. Lam.",C$26,0)</f>
        <v>0</v>
      </c>
      <c r="D33" s="44">
        <f t="shared" si="32"/>
        <v>0</v>
      </c>
      <c r="E33" s="44">
        <f t="shared" si="32"/>
        <v>0</v>
      </c>
      <c r="F33" s="44">
        <f t="shared" si="32"/>
        <v>0</v>
      </c>
      <c r="G33" s="44">
        <f t="shared" si="32"/>
        <v>0</v>
      </c>
      <c r="H33" s="44">
        <f t="shared" si="32"/>
        <v>0</v>
      </c>
      <c r="I33" s="44">
        <f t="shared" si="32"/>
        <v>0</v>
      </c>
      <c r="J33" s="44">
        <f t="shared" si="32"/>
        <v>0</v>
      </c>
      <c r="K33" s="44">
        <f t="shared" si="32"/>
        <v>0</v>
      </c>
      <c r="L33" s="44">
        <f t="shared" si="32"/>
        <v>0</v>
      </c>
      <c r="M33" s="44">
        <f t="shared" si="32"/>
        <v>7.5</v>
      </c>
      <c r="N33" s="44">
        <f t="shared" si="32"/>
        <v>0</v>
      </c>
      <c r="O33" s="44">
        <f t="shared" si="32"/>
        <v>0</v>
      </c>
      <c r="P33" s="44">
        <f t="shared" si="32"/>
        <v>0</v>
      </c>
      <c r="Q33" s="44">
        <f t="shared" si="32"/>
        <v>0</v>
      </c>
      <c r="R33" s="44">
        <f t="shared" si="32"/>
        <v>0</v>
      </c>
      <c r="S33" s="44">
        <f t="shared" si="32"/>
        <v>0</v>
      </c>
      <c r="T33" s="44">
        <f t="shared" si="32"/>
        <v>0</v>
      </c>
      <c r="V33" s="44">
        <f>IF(V$5="Vid Temp - Pele Vid",V$26,0)</f>
        <v>12.719999999999999</v>
      </c>
      <c r="W33" s="44">
        <f t="shared" ref="W33:AR33" si="33">IF(W$5="Vid Temp - Pele Vid",W$26,0)</f>
        <v>0</v>
      </c>
      <c r="X33" s="44">
        <f t="shared" si="33"/>
        <v>0</v>
      </c>
      <c r="Y33" s="44">
        <f t="shared" si="33"/>
        <v>0</v>
      </c>
      <c r="Z33" s="44">
        <f t="shared" si="33"/>
        <v>0</v>
      </c>
      <c r="AA33" s="44">
        <f t="shared" si="33"/>
        <v>0</v>
      </c>
      <c r="AB33" s="44">
        <f t="shared" si="33"/>
        <v>0</v>
      </c>
      <c r="AC33" s="44">
        <f t="shared" si="33"/>
        <v>0</v>
      </c>
      <c r="AD33" s="44">
        <f t="shared" si="33"/>
        <v>0</v>
      </c>
      <c r="AE33" s="44">
        <f t="shared" si="33"/>
        <v>26.95</v>
      </c>
      <c r="AF33" s="44">
        <f t="shared" si="33"/>
        <v>0</v>
      </c>
      <c r="AG33" s="44">
        <f t="shared" si="33"/>
        <v>0</v>
      </c>
      <c r="AH33" s="44">
        <f t="shared" si="33"/>
        <v>0</v>
      </c>
      <c r="AI33" s="44">
        <f t="shared" si="33"/>
        <v>0</v>
      </c>
      <c r="AJ33" s="44">
        <f t="shared" si="33"/>
        <v>0</v>
      </c>
      <c r="AK33" s="44">
        <f t="shared" si="33"/>
        <v>0</v>
      </c>
      <c r="AL33" s="44">
        <f t="shared" si="33"/>
        <v>0</v>
      </c>
      <c r="AM33" s="44">
        <f t="shared" si="33"/>
        <v>0</v>
      </c>
      <c r="AN33" s="44">
        <f t="shared" si="33"/>
        <v>0</v>
      </c>
      <c r="AO33" s="44">
        <f t="shared" si="33"/>
        <v>0</v>
      </c>
      <c r="AP33" s="44">
        <f t="shared" si="33"/>
        <v>0</v>
      </c>
      <c r="AQ33" s="44">
        <f t="shared" si="33"/>
        <v>0</v>
      </c>
      <c r="AR33" s="44">
        <f t="shared" si="33"/>
        <v>0</v>
      </c>
      <c r="AS33" s="66" t="s">
        <v>318</v>
      </c>
    </row>
    <row r="34" spans="1:45" ht="30" customHeight="1">
      <c r="A34" s="67"/>
      <c r="B34" s="55">
        <f>SUM(B33:T33)</f>
        <v>7.5</v>
      </c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56"/>
      <c r="V34" s="55">
        <f>SUM(V33:AR33)</f>
        <v>39.67</v>
      </c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7"/>
    </row>
    <row r="35" spans="1:45" ht="15" customHeight="1">
      <c r="V35" s="21">
        <f>IF(V$5="Madeira Lami Mel",IF(V$2="80x210",(V$14),0),0)</f>
        <v>0</v>
      </c>
      <c r="W35" s="21">
        <f t="shared" ref="W35:AR35" si="34">IF(W$5="Madeira Lami Mel",IF(W$2="80x210",(W$14),0),0)</f>
        <v>0</v>
      </c>
      <c r="X35" s="21">
        <f t="shared" si="34"/>
        <v>0</v>
      </c>
      <c r="Y35" s="21">
        <f t="shared" si="34"/>
        <v>25</v>
      </c>
      <c r="Z35" s="21">
        <f t="shared" si="34"/>
        <v>0</v>
      </c>
      <c r="AA35" s="21">
        <f t="shared" si="34"/>
        <v>0</v>
      </c>
      <c r="AB35" s="21">
        <f t="shared" si="34"/>
        <v>0</v>
      </c>
      <c r="AC35" s="21">
        <f t="shared" si="34"/>
        <v>0</v>
      </c>
      <c r="AD35" s="21">
        <f t="shared" si="34"/>
        <v>0</v>
      </c>
      <c r="AE35" s="21">
        <f t="shared" si="34"/>
        <v>0</v>
      </c>
      <c r="AF35" s="21">
        <f t="shared" si="34"/>
        <v>0</v>
      </c>
      <c r="AG35" s="21">
        <f t="shared" si="34"/>
        <v>0</v>
      </c>
      <c r="AH35" s="21">
        <f t="shared" si="34"/>
        <v>0</v>
      </c>
      <c r="AI35" s="21">
        <f t="shared" si="34"/>
        <v>0</v>
      </c>
      <c r="AJ35" s="21">
        <f t="shared" si="34"/>
        <v>0</v>
      </c>
      <c r="AK35" s="21">
        <f t="shared" si="34"/>
        <v>0</v>
      </c>
      <c r="AL35" s="21">
        <f t="shared" si="34"/>
        <v>0</v>
      </c>
      <c r="AM35" s="21">
        <f t="shared" si="34"/>
        <v>0</v>
      </c>
      <c r="AN35" s="21">
        <f t="shared" si="34"/>
        <v>0</v>
      </c>
      <c r="AO35" s="21">
        <f t="shared" si="34"/>
        <v>0</v>
      </c>
      <c r="AP35" s="21">
        <f t="shared" si="34"/>
        <v>0</v>
      </c>
      <c r="AQ35" s="21">
        <f t="shared" si="34"/>
        <v>0</v>
      </c>
      <c r="AR35" s="21">
        <f t="shared" si="34"/>
        <v>0</v>
      </c>
      <c r="AS35" s="66" t="s">
        <v>324</v>
      </c>
    </row>
    <row r="36" spans="1:45">
      <c r="V36" s="75">
        <f>SUM(V35:AR35)</f>
        <v>25</v>
      </c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67"/>
    </row>
    <row r="37" spans="1:45">
      <c r="A37" s="42" t="s">
        <v>317</v>
      </c>
      <c r="B37" s="44">
        <f>B22+B23</f>
        <v>0</v>
      </c>
      <c r="C37" s="44">
        <f t="shared" ref="C37:T37" si="35">C22+C23</f>
        <v>0</v>
      </c>
      <c r="D37" s="44">
        <f t="shared" si="35"/>
        <v>28</v>
      </c>
      <c r="E37" s="44">
        <f t="shared" si="35"/>
        <v>5.5</v>
      </c>
      <c r="F37" s="44">
        <f t="shared" si="35"/>
        <v>14.2</v>
      </c>
      <c r="G37" s="44">
        <f t="shared" si="35"/>
        <v>8.3000000000000007</v>
      </c>
      <c r="H37" s="44">
        <f t="shared" si="35"/>
        <v>6.7</v>
      </c>
      <c r="I37" s="44">
        <f t="shared" si="35"/>
        <v>0</v>
      </c>
      <c r="J37" s="44">
        <f t="shared" si="35"/>
        <v>23.1</v>
      </c>
      <c r="K37" s="44">
        <f t="shared" si="35"/>
        <v>27.8</v>
      </c>
      <c r="L37" s="44">
        <f t="shared" si="35"/>
        <v>1.6</v>
      </c>
      <c r="M37" s="44">
        <f t="shared" si="35"/>
        <v>0</v>
      </c>
      <c r="N37" s="44">
        <f t="shared" si="35"/>
        <v>0</v>
      </c>
      <c r="O37" s="44">
        <f t="shared" si="35"/>
        <v>0</v>
      </c>
      <c r="P37" s="44">
        <f t="shared" si="35"/>
        <v>0</v>
      </c>
      <c r="Q37" s="44">
        <f t="shared" si="35"/>
        <v>18</v>
      </c>
      <c r="R37" s="44">
        <f t="shared" si="35"/>
        <v>0</v>
      </c>
      <c r="S37" s="44">
        <f t="shared" si="35"/>
        <v>3.2</v>
      </c>
      <c r="T37" s="44">
        <f t="shared" si="35"/>
        <v>49.6</v>
      </c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74"/>
    </row>
    <row r="38" spans="1:45">
      <c r="A38" s="66" t="s">
        <v>318</v>
      </c>
      <c r="B38" s="44">
        <f>IF(B$5="Pele de Vidro",B$37,0)</f>
        <v>0</v>
      </c>
      <c r="C38" s="44">
        <f t="shared" ref="C38:T38" si="36">IF(C$5="Pele de Vidro",C$37,0)</f>
        <v>0</v>
      </c>
      <c r="D38" s="44">
        <f t="shared" si="36"/>
        <v>0</v>
      </c>
      <c r="E38" s="44">
        <f t="shared" si="36"/>
        <v>0</v>
      </c>
      <c r="F38" s="44">
        <f t="shared" si="36"/>
        <v>14.2</v>
      </c>
      <c r="G38" s="44">
        <f t="shared" si="36"/>
        <v>8.3000000000000007</v>
      </c>
      <c r="H38" s="44">
        <f t="shared" si="36"/>
        <v>6.7</v>
      </c>
      <c r="I38" s="44">
        <f t="shared" si="36"/>
        <v>0</v>
      </c>
      <c r="J38" s="44">
        <f t="shared" si="36"/>
        <v>23.1</v>
      </c>
      <c r="K38" s="44">
        <f t="shared" si="36"/>
        <v>27.8</v>
      </c>
      <c r="L38" s="44">
        <f t="shared" si="36"/>
        <v>0</v>
      </c>
      <c r="M38" s="44">
        <f t="shared" si="36"/>
        <v>0</v>
      </c>
      <c r="N38" s="44">
        <f t="shared" si="36"/>
        <v>0</v>
      </c>
      <c r="O38" s="44">
        <f t="shared" si="36"/>
        <v>0</v>
      </c>
      <c r="P38" s="44">
        <f t="shared" si="36"/>
        <v>0</v>
      </c>
      <c r="Q38" s="44">
        <f t="shared" si="36"/>
        <v>0</v>
      </c>
      <c r="R38" s="44">
        <f t="shared" si="36"/>
        <v>0</v>
      </c>
      <c r="S38" s="44">
        <f t="shared" si="36"/>
        <v>0</v>
      </c>
      <c r="T38" s="44">
        <f t="shared" si="36"/>
        <v>49.6</v>
      </c>
      <c r="V38" s="21">
        <f>IF(V$5="Madeira Lami Mel",IF(V$2="90x210",(V$14),0),0)</f>
        <v>0</v>
      </c>
      <c r="W38" s="21">
        <f t="shared" ref="W38:AR38" si="37">IF(W$5="Madeira Lami Mel",IF(W$2="90x210",(W$14),0),0)</f>
        <v>0</v>
      </c>
      <c r="X38" s="21">
        <f t="shared" si="37"/>
        <v>0</v>
      </c>
      <c r="Y38" s="21">
        <f t="shared" si="37"/>
        <v>0</v>
      </c>
      <c r="Z38" s="21">
        <f t="shared" si="37"/>
        <v>0</v>
      </c>
      <c r="AA38" s="21">
        <f t="shared" si="37"/>
        <v>25</v>
      </c>
      <c r="AB38" s="21">
        <f t="shared" si="37"/>
        <v>0</v>
      </c>
      <c r="AC38" s="21">
        <f t="shared" si="37"/>
        <v>0</v>
      </c>
      <c r="AD38" s="21">
        <f t="shared" si="37"/>
        <v>0</v>
      </c>
      <c r="AE38" s="21">
        <f t="shared" si="37"/>
        <v>0</v>
      </c>
      <c r="AF38" s="21">
        <f t="shared" si="37"/>
        <v>0</v>
      </c>
      <c r="AG38" s="21">
        <f t="shared" si="37"/>
        <v>0</v>
      </c>
      <c r="AH38" s="21">
        <f t="shared" si="37"/>
        <v>0</v>
      </c>
      <c r="AI38" s="21">
        <f t="shared" si="37"/>
        <v>0</v>
      </c>
      <c r="AJ38" s="21">
        <f t="shared" si="37"/>
        <v>0</v>
      </c>
      <c r="AK38" s="21">
        <f t="shared" si="37"/>
        <v>0</v>
      </c>
      <c r="AL38" s="21">
        <f t="shared" si="37"/>
        <v>0</v>
      </c>
      <c r="AM38" s="21">
        <f t="shared" si="37"/>
        <v>0</v>
      </c>
      <c r="AN38" s="21">
        <f t="shared" si="37"/>
        <v>13</v>
      </c>
      <c r="AO38" s="21">
        <f t="shared" si="37"/>
        <v>0</v>
      </c>
      <c r="AP38" s="21">
        <f t="shared" si="37"/>
        <v>0</v>
      </c>
      <c r="AQ38" s="21">
        <f t="shared" si="37"/>
        <v>0</v>
      </c>
      <c r="AR38" s="21">
        <f t="shared" si="37"/>
        <v>0</v>
      </c>
      <c r="AS38" s="66" t="s">
        <v>325</v>
      </c>
    </row>
    <row r="39" spans="1:45" ht="30" customHeight="1">
      <c r="A39" s="67"/>
      <c r="B39" s="55">
        <f>SUM(B38:T38)</f>
        <v>129.69999999999999</v>
      </c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56"/>
      <c r="V39" s="81">
        <f>SUM(V38:AR38)</f>
        <v>38</v>
      </c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67"/>
    </row>
    <row r="40" spans="1:45" ht="15" customHeight="1">
      <c r="A40" s="66" t="s">
        <v>319</v>
      </c>
      <c r="B40" s="44">
        <f>IF(B$5="Vidro Aramado",B$37,0)</f>
        <v>0</v>
      </c>
      <c r="C40" s="44">
        <f t="shared" ref="C40:T40" si="38">IF(C$5="Vidro Aramado",C$37,0)</f>
        <v>0</v>
      </c>
      <c r="D40" s="44">
        <f t="shared" si="38"/>
        <v>0</v>
      </c>
      <c r="E40" s="44">
        <f t="shared" si="38"/>
        <v>5.5</v>
      </c>
      <c r="F40" s="44">
        <f t="shared" si="38"/>
        <v>0</v>
      </c>
      <c r="G40" s="44">
        <f t="shared" si="38"/>
        <v>0</v>
      </c>
      <c r="H40" s="44">
        <f t="shared" si="38"/>
        <v>0</v>
      </c>
      <c r="I40" s="44">
        <f t="shared" si="38"/>
        <v>0</v>
      </c>
      <c r="J40" s="44">
        <f t="shared" si="38"/>
        <v>0</v>
      </c>
      <c r="K40" s="44">
        <f t="shared" si="38"/>
        <v>0</v>
      </c>
      <c r="L40" s="44">
        <f t="shared" si="38"/>
        <v>0</v>
      </c>
      <c r="M40" s="44">
        <f t="shared" si="38"/>
        <v>0</v>
      </c>
      <c r="N40" s="44">
        <f t="shared" si="38"/>
        <v>0</v>
      </c>
      <c r="O40" s="44">
        <f t="shared" si="38"/>
        <v>0</v>
      </c>
      <c r="P40" s="44">
        <f t="shared" si="38"/>
        <v>0</v>
      </c>
      <c r="Q40" s="44">
        <f t="shared" si="38"/>
        <v>0</v>
      </c>
      <c r="R40" s="44">
        <f t="shared" si="38"/>
        <v>0</v>
      </c>
      <c r="S40" s="44">
        <f t="shared" si="38"/>
        <v>3.2</v>
      </c>
      <c r="T40" s="44">
        <f t="shared" si="38"/>
        <v>0</v>
      </c>
      <c r="V40" s="21">
        <f>IF(V$5="Madeira Lami Mel",IF(V$2="110x210",(V$14),0),0)</f>
        <v>0</v>
      </c>
      <c r="W40" s="21">
        <f t="shared" ref="W40:AR40" si="39">IF(W$5="Madeira Lami Mel",IF(W$2="110x210",(W$14),0),0)</f>
        <v>0</v>
      </c>
      <c r="X40" s="21">
        <f t="shared" si="39"/>
        <v>0</v>
      </c>
      <c r="Y40" s="21">
        <f t="shared" si="39"/>
        <v>0</v>
      </c>
      <c r="Z40" s="21">
        <f t="shared" si="39"/>
        <v>0</v>
      </c>
      <c r="AA40" s="21">
        <f t="shared" si="39"/>
        <v>0</v>
      </c>
      <c r="AB40" s="21">
        <f t="shared" si="39"/>
        <v>0</v>
      </c>
      <c r="AC40" s="21">
        <f t="shared" si="39"/>
        <v>0</v>
      </c>
      <c r="AD40" s="21">
        <f t="shared" si="39"/>
        <v>0</v>
      </c>
      <c r="AE40" s="21">
        <f t="shared" si="39"/>
        <v>0</v>
      </c>
      <c r="AF40" s="21">
        <f t="shared" si="39"/>
        <v>17</v>
      </c>
      <c r="AG40" s="21">
        <f t="shared" si="39"/>
        <v>0</v>
      </c>
      <c r="AH40" s="21">
        <f t="shared" si="39"/>
        <v>0</v>
      </c>
      <c r="AI40" s="21">
        <f t="shared" si="39"/>
        <v>0</v>
      </c>
      <c r="AJ40" s="21">
        <f t="shared" si="39"/>
        <v>0</v>
      </c>
      <c r="AK40" s="21">
        <f t="shared" si="39"/>
        <v>0</v>
      </c>
      <c r="AL40" s="21">
        <f t="shared" si="39"/>
        <v>0</v>
      </c>
      <c r="AM40" s="21">
        <f t="shared" si="39"/>
        <v>0</v>
      </c>
      <c r="AN40" s="21">
        <f t="shared" si="39"/>
        <v>0</v>
      </c>
      <c r="AO40" s="21">
        <f t="shared" si="39"/>
        <v>0</v>
      </c>
      <c r="AP40" s="21">
        <f t="shared" si="39"/>
        <v>0</v>
      </c>
      <c r="AQ40" s="21">
        <f t="shared" si="39"/>
        <v>0</v>
      </c>
      <c r="AR40" s="21">
        <f t="shared" si="39"/>
        <v>0</v>
      </c>
      <c r="AS40" s="66" t="s">
        <v>326</v>
      </c>
    </row>
    <row r="41" spans="1:45" ht="30" customHeight="1">
      <c r="A41" s="67"/>
      <c r="B41" s="55">
        <f>SUM(B40:T40)</f>
        <v>8.6999999999999993</v>
      </c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56"/>
      <c r="V41" s="81">
        <f>SUM(V40:AR40)</f>
        <v>17</v>
      </c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67"/>
    </row>
    <row r="42" spans="1:45" ht="15" customHeight="1">
      <c r="A42" s="66" t="s">
        <v>321</v>
      </c>
      <c r="B42" s="44">
        <f>IF(B$5="Vidro Temp.",B$37,0)</f>
        <v>0</v>
      </c>
      <c r="C42" s="44">
        <f t="shared" ref="C42:T42" si="40">IF(C$5="Vidro Temp.",C$37,0)</f>
        <v>0</v>
      </c>
      <c r="D42" s="44">
        <f t="shared" si="40"/>
        <v>28</v>
      </c>
      <c r="E42" s="44">
        <f t="shared" si="40"/>
        <v>0</v>
      </c>
      <c r="F42" s="44">
        <f t="shared" si="40"/>
        <v>0</v>
      </c>
      <c r="G42" s="44">
        <f t="shared" si="40"/>
        <v>0</v>
      </c>
      <c r="H42" s="44">
        <f t="shared" si="40"/>
        <v>0</v>
      </c>
      <c r="I42" s="44">
        <f t="shared" si="40"/>
        <v>0</v>
      </c>
      <c r="J42" s="44">
        <f t="shared" si="40"/>
        <v>0</v>
      </c>
      <c r="K42" s="44">
        <f t="shared" si="40"/>
        <v>0</v>
      </c>
      <c r="L42" s="44">
        <f t="shared" si="40"/>
        <v>1.6</v>
      </c>
      <c r="M42" s="44">
        <f t="shared" si="40"/>
        <v>0</v>
      </c>
      <c r="N42" s="44">
        <f t="shared" si="40"/>
        <v>0</v>
      </c>
      <c r="O42" s="44">
        <f t="shared" si="40"/>
        <v>0</v>
      </c>
      <c r="P42" s="44">
        <f t="shared" si="40"/>
        <v>0</v>
      </c>
      <c r="Q42" s="44">
        <f t="shared" si="40"/>
        <v>18</v>
      </c>
      <c r="R42" s="44">
        <f t="shared" si="40"/>
        <v>0</v>
      </c>
      <c r="S42" s="44">
        <f t="shared" si="40"/>
        <v>0</v>
      </c>
      <c r="T42" s="44">
        <f t="shared" si="40"/>
        <v>0</v>
      </c>
      <c r="V42" s="21">
        <f>IF(V$5="Madeira Lami Mel",IF(V$2="210x210",(V$14),0),0)</f>
        <v>0</v>
      </c>
      <c r="W42" s="21">
        <f t="shared" ref="W42:AR42" si="41">IF(W$5="Madeira Lami Mel",IF(W$2="210x210",(W$14),0),0)</f>
        <v>0</v>
      </c>
      <c r="X42" s="21">
        <f t="shared" si="41"/>
        <v>22</v>
      </c>
      <c r="Y42" s="21">
        <f t="shared" si="41"/>
        <v>0</v>
      </c>
      <c r="Z42" s="21">
        <f t="shared" si="41"/>
        <v>0</v>
      </c>
      <c r="AA42" s="21">
        <f t="shared" si="41"/>
        <v>0</v>
      </c>
      <c r="AB42" s="21">
        <f t="shared" si="41"/>
        <v>0</v>
      </c>
      <c r="AC42" s="21">
        <f t="shared" si="41"/>
        <v>0</v>
      </c>
      <c r="AD42" s="21">
        <f t="shared" si="41"/>
        <v>0</v>
      </c>
      <c r="AE42" s="21">
        <f t="shared" si="41"/>
        <v>0</v>
      </c>
      <c r="AF42" s="21">
        <f t="shared" si="41"/>
        <v>0</v>
      </c>
      <c r="AG42" s="21">
        <f t="shared" si="41"/>
        <v>0</v>
      </c>
      <c r="AH42" s="21">
        <f t="shared" si="41"/>
        <v>0</v>
      </c>
      <c r="AI42" s="21">
        <f t="shared" si="41"/>
        <v>0</v>
      </c>
      <c r="AJ42" s="21">
        <f t="shared" si="41"/>
        <v>0</v>
      </c>
      <c r="AK42" s="21">
        <f t="shared" si="41"/>
        <v>0</v>
      </c>
      <c r="AL42" s="21">
        <f t="shared" si="41"/>
        <v>0</v>
      </c>
      <c r="AM42" s="21">
        <f t="shared" si="41"/>
        <v>0</v>
      </c>
      <c r="AN42" s="21">
        <f t="shared" si="41"/>
        <v>0</v>
      </c>
      <c r="AO42" s="21">
        <f t="shared" si="41"/>
        <v>0</v>
      </c>
      <c r="AP42" s="21">
        <f t="shared" si="41"/>
        <v>0</v>
      </c>
      <c r="AQ42" s="21">
        <f t="shared" si="41"/>
        <v>0</v>
      </c>
      <c r="AR42" s="21">
        <f t="shared" si="41"/>
        <v>0</v>
      </c>
      <c r="AS42" s="66" t="s">
        <v>327</v>
      </c>
    </row>
    <row r="43" spans="1:45" ht="30" customHeight="1">
      <c r="A43" s="67"/>
      <c r="B43" s="55">
        <f>SUM(B42:T42)</f>
        <v>47.6</v>
      </c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56"/>
      <c r="V43" s="81">
        <f>SUM(V42:AR42)</f>
        <v>22</v>
      </c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67"/>
    </row>
    <row r="44" spans="1:45" ht="15" customHeight="1">
      <c r="A44" s="66" t="s">
        <v>320</v>
      </c>
      <c r="B44" s="44">
        <f>IF(B$5="Aço Carb. Vid. Lam.",B$37,0)</f>
        <v>0</v>
      </c>
      <c r="C44" s="44">
        <f t="shared" ref="C44:T44" si="42">IF(C$5="Aço Carb. Vid. Lam.",C$37,0)</f>
        <v>0</v>
      </c>
      <c r="D44" s="44">
        <f t="shared" si="42"/>
        <v>0</v>
      </c>
      <c r="E44" s="44">
        <f t="shared" si="42"/>
        <v>0</v>
      </c>
      <c r="F44" s="44">
        <f t="shared" si="42"/>
        <v>0</v>
      </c>
      <c r="G44" s="44">
        <f t="shared" si="42"/>
        <v>0</v>
      </c>
      <c r="H44" s="44">
        <f t="shared" si="42"/>
        <v>0</v>
      </c>
      <c r="I44" s="44">
        <f t="shared" si="42"/>
        <v>0</v>
      </c>
      <c r="J44" s="44">
        <f t="shared" si="42"/>
        <v>0</v>
      </c>
      <c r="K44" s="44">
        <f t="shared" si="42"/>
        <v>0</v>
      </c>
      <c r="L44" s="44">
        <f t="shared" si="42"/>
        <v>0</v>
      </c>
      <c r="M44" s="44">
        <f t="shared" si="42"/>
        <v>0</v>
      </c>
      <c r="N44" s="44">
        <f t="shared" si="42"/>
        <v>0</v>
      </c>
      <c r="O44" s="44">
        <f t="shared" si="42"/>
        <v>0</v>
      </c>
      <c r="P44" s="44">
        <f t="shared" si="42"/>
        <v>0</v>
      </c>
      <c r="Q44" s="44">
        <f t="shared" si="42"/>
        <v>0</v>
      </c>
      <c r="R44" s="44">
        <f t="shared" si="42"/>
        <v>0</v>
      </c>
      <c r="S44" s="44">
        <f t="shared" si="42"/>
        <v>0</v>
      </c>
      <c r="T44" s="44">
        <f t="shared" si="42"/>
        <v>0</v>
      </c>
      <c r="V44" s="44">
        <f>IF(V$5="Venez Metálica",V$26,0)</f>
        <v>0</v>
      </c>
      <c r="W44" s="44">
        <f t="shared" ref="W44:AR44" si="43">IF(W$5="Venez Metálica",W$26,0)</f>
        <v>0</v>
      </c>
      <c r="X44" s="44">
        <f t="shared" si="43"/>
        <v>0</v>
      </c>
      <c r="Y44" s="44">
        <f t="shared" si="43"/>
        <v>0</v>
      </c>
      <c r="Z44" s="44">
        <f t="shared" si="43"/>
        <v>11.550000000000002</v>
      </c>
      <c r="AA44" s="44">
        <f t="shared" si="43"/>
        <v>0</v>
      </c>
      <c r="AB44" s="44">
        <f t="shared" si="43"/>
        <v>0</v>
      </c>
      <c r="AC44" s="44">
        <f t="shared" si="43"/>
        <v>3.3600000000000003</v>
      </c>
      <c r="AD44" s="44">
        <f t="shared" si="43"/>
        <v>0</v>
      </c>
      <c r="AE44" s="44">
        <f t="shared" si="43"/>
        <v>0</v>
      </c>
      <c r="AF44" s="44">
        <f t="shared" si="43"/>
        <v>0</v>
      </c>
      <c r="AG44" s="44">
        <f t="shared" si="43"/>
        <v>0</v>
      </c>
      <c r="AH44" s="44">
        <f t="shared" si="43"/>
        <v>0</v>
      </c>
      <c r="AI44" s="44">
        <f t="shared" si="43"/>
        <v>0</v>
      </c>
      <c r="AJ44" s="44">
        <f t="shared" si="43"/>
        <v>0</v>
      </c>
      <c r="AK44" s="44">
        <f t="shared" si="43"/>
        <v>0</v>
      </c>
      <c r="AL44" s="44">
        <f t="shared" si="43"/>
        <v>0</v>
      </c>
      <c r="AM44" s="44">
        <f t="shared" si="43"/>
        <v>0</v>
      </c>
      <c r="AN44" s="44">
        <f t="shared" si="43"/>
        <v>0</v>
      </c>
      <c r="AO44" s="44">
        <f t="shared" si="43"/>
        <v>0</v>
      </c>
      <c r="AP44" s="44">
        <f t="shared" si="43"/>
        <v>0</v>
      </c>
      <c r="AQ44" s="44">
        <f t="shared" si="43"/>
        <v>0</v>
      </c>
      <c r="AR44" s="44">
        <f t="shared" si="43"/>
        <v>0</v>
      </c>
      <c r="AS44" s="66" t="s">
        <v>328</v>
      </c>
    </row>
    <row r="45" spans="1:45" ht="30" customHeight="1">
      <c r="A45" s="67"/>
      <c r="B45" s="55">
        <f>SUM(B44:T44)</f>
        <v>0</v>
      </c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56"/>
      <c r="V45" s="55">
        <f>SUM(V44:AR44)</f>
        <v>14.910000000000004</v>
      </c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7"/>
    </row>
    <row r="46" spans="1:45" ht="15" customHeight="1">
      <c r="V46" s="44">
        <f>IF(V$5="Chapa Lisa Met",V$26,0)</f>
        <v>0</v>
      </c>
      <c r="W46" s="44">
        <f t="shared" ref="W46:AR46" si="44">IF(W$5="Chapa Lisa Met",W$26,0)</f>
        <v>0</v>
      </c>
      <c r="X46" s="44">
        <f t="shared" si="44"/>
        <v>0</v>
      </c>
      <c r="Y46" s="44">
        <f t="shared" si="44"/>
        <v>0</v>
      </c>
      <c r="Z46" s="44">
        <f t="shared" si="44"/>
        <v>0</v>
      </c>
      <c r="AA46" s="44">
        <f t="shared" si="44"/>
        <v>0</v>
      </c>
      <c r="AB46" s="44">
        <f t="shared" si="44"/>
        <v>17.5</v>
      </c>
      <c r="AC46" s="44">
        <f t="shared" si="44"/>
        <v>0</v>
      </c>
      <c r="AD46" s="44">
        <f t="shared" si="44"/>
        <v>0</v>
      </c>
      <c r="AE46" s="44">
        <f t="shared" si="44"/>
        <v>0</v>
      </c>
      <c r="AF46" s="44">
        <f t="shared" si="44"/>
        <v>0</v>
      </c>
      <c r="AG46" s="44">
        <f t="shared" si="44"/>
        <v>0</v>
      </c>
      <c r="AH46" s="44">
        <f t="shared" si="44"/>
        <v>0</v>
      </c>
      <c r="AI46" s="44">
        <f t="shared" si="44"/>
        <v>0</v>
      </c>
      <c r="AJ46" s="44">
        <f t="shared" si="44"/>
        <v>0</v>
      </c>
      <c r="AK46" s="44">
        <f t="shared" si="44"/>
        <v>0</v>
      </c>
      <c r="AL46" s="44">
        <f t="shared" si="44"/>
        <v>0</v>
      </c>
      <c r="AM46" s="44">
        <f t="shared" si="44"/>
        <v>0</v>
      </c>
      <c r="AN46" s="44">
        <f t="shared" si="44"/>
        <v>0</v>
      </c>
      <c r="AO46" s="44">
        <f t="shared" si="44"/>
        <v>8.82</v>
      </c>
      <c r="AP46" s="44">
        <f t="shared" si="44"/>
        <v>0</v>
      </c>
      <c r="AQ46" s="44">
        <f t="shared" si="44"/>
        <v>0</v>
      </c>
      <c r="AR46" s="44">
        <f t="shared" si="44"/>
        <v>0</v>
      </c>
      <c r="AS46" s="66" t="s">
        <v>329</v>
      </c>
    </row>
    <row r="47" spans="1:45" ht="30" customHeight="1">
      <c r="V47" s="55">
        <f>SUM(V46:AR46)</f>
        <v>26.32</v>
      </c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7"/>
    </row>
    <row r="48" spans="1:45">
      <c r="V48" s="44">
        <f>IF(V$5="MDF Lami Mel",V$26,0)</f>
        <v>0</v>
      </c>
      <c r="W48" s="44">
        <f t="shared" ref="W48:AR48" si="45">IF(W$5="MDF Lami Mel",W$26,0)</f>
        <v>0</v>
      </c>
      <c r="X48" s="44">
        <f t="shared" si="45"/>
        <v>0</v>
      </c>
      <c r="Y48" s="44">
        <f t="shared" si="45"/>
        <v>0</v>
      </c>
      <c r="Z48" s="44">
        <f t="shared" si="45"/>
        <v>0</v>
      </c>
      <c r="AA48" s="44">
        <f t="shared" si="45"/>
        <v>0</v>
      </c>
      <c r="AB48" s="44">
        <f t="shared" si="45"/>
        <v>0</v>
      </c>
      <c r="AC48" s="44">
        <f t="shared" si="45"/>
        <v>0</v>
      </c>
      <c r="AD48" s="44">
        <f t="shared" si="45"/>
        <v>0</v>
      </c>
      <c r="AE48" s="44">
        <f t="shared" si="45"/>
        <v>0</v>
      </c>
      <c r="AF48" s="44">
        <f t="shared" si="45"/>
        <v>0</v>
      </c>
      <c r="AG48" s="44">
        <f t="shared" si="45"/>
        <v>0</v>
      </c>
      <c r="AH48" s="44">
        <f t="shared" si="45"/>
        <v>0</v>
      </c>
      <c r="AI48" s="44">
        <f t="shared" si="45"/>
        <v>3.3600000000000003</v>
      </c>
      <c r="AJ48" s="44">
        <f t="shared" si="45"/>
        <v>2.94</v>
      </c>
      <c r="AK48" s="44">
        <f t="shared" si="45"/>
        <v>0</v>
      </c>
      <c r="AL48" s="44">
        <f t="shared" si="45"/>
        <v>0</v>
      </c>
      <c r="AM48" s="44">
        <f t="shared" si="45"/>
        <v>0</v>
      </c>
      <c r="AN48" s="44">
        <f t="shared" si="45"/>
        <v>0</v>
      </c>
      <c r="AO48" s="44">
        <f t="shared" si="45"/>
        <v>0</v>
      </c>
      <c r="AP48" s="44">
        <f t="shared" si="45"/>
        <v>0</v>
      </c>
      <c r="AQ48" s="44">
        <f t="shared" si="45"/>
        <v>0</v>
      </c>
      <c r="AR48" s="44">
        <f t="shared" si="45"/>
        <v>0</v>
      </c>
      <c r="AS48" s="66" t="s">
        <v>332</v>
      </c>
    </row>
    <row r="49" spans="22:45" ht="30" customHeight="1">
      <c r="V49" s="55">
        <f>SUM(V48:AR48)</f>
        <v>6.3000000000000007</v>
      </c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7"/>
    </row>
    <row r="50" spans="22:45" ht="15" customHeight="1">
      <c r="V50" s="21">
        <f>IF(V$5="MDF Lami Mel",V$14,0)</f>
        <v>0</v>
      </c>
      <c r="W50" s="21">
        <f t="shared" ref="W50:AR50" si="46">IF(W$5="MDF Lami Mel",W$14,0)</f>
        <v>0</v>
      </c>
      <c r="X50" s="21">
        <f t="shared" si="46"/>
        <v>0</v>
      </c>
      <c r="Y50" s="21">
        <f t="shared" si="46"/>
        <v>0</v>
      </c>
      <c r="Z50" s="21">
        <f t="shared" si="46"/>
        <v>0</v>
      </c>
      <c r="AA50" s="21">
        <f t="shared" si="46"/>
        <v>0</v>
      </c>
      <c r="AB50" s="21">
        <f t="shared" si="46"/>
        <v>0</v>
      </c>
      <c r="AC50" s="21">
        <f t="shared" si="46"/>
        <v>0</v>
      </c>
      <c r="AD50" s="21">
        <f t="shared" si="46"/>
        <v>0</v>
      </c>
      <c r="AE50" s="21">
        <f t="shared" si="46"/>
        <v>0</v>
      </c>
      <c r="AF50" s="21">
        <f t="shared" si="46"/>
        <v>0</v>
      </c>
      <c r="AG50" s="21">
        <f t="shared" si="46"/>
        <v>0</v>
      </c>
      <c r="AH50" s="21">
        <f t="shared" si="46"/>
        <v>0</v>
      </c>
      <c r="AI50" s="21">
        <f t="shared" si="46"/>
        <v>2</v>
      </c>
      <c r="AJ50" s="21">
        <f t="shared" si="46"/>
        <v>2</v>
      </c>
      <c r="AK50" s="21">
        <f t="shared" si="46"/>
        <v>0</v>
      </c>
      <c r="AL50" s="21">
        <f t="shared" si="46"/>
        <v>0</v>
      </c>
      <c r="AM50" s="21">
        <f t="shared" si="46"/>
        <v>0</v>
      </c>
      <c r="AN50" s="21">
        <f t="shared" si="46"/>
        <v>0</v>
      </c>
      <c r="AO50" s="21">
        <f t="shared" si="46"/>
        <v>0</v>
      </c>
      <c r="AP50" s="21">
        <f t="shared" si="46"/>
        <v>0</v>
      </c>
      <c r="AQ50" s="21">
        <f t="shared" si="46"/>
        <v>0</v>
      </c>
      <c r="AR50" s="21">
        <f t="shared" si="46"/>
        <v>0</v>
      </c>
      <c r="AS50" s="66" t="s">
        <v>331</v>
      </c>
    </row>
    <row r="51" spans="22:45" ht="30" customHeight="1">
      <c r="V51" s="81">
        <f>SUM(V50:AR50)</f>
        <v>4</v>
      </c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67"/>
    </row>
    <row r="52" spans="22:45">
      <c r="V52" s="21">
        <f>IF(V$5="Chapa Galvaniz",IF(V$2="60x150",(V$14),0),0)</f>
        <v>0</v>
      </c>
      <c r="W52" s="21">
        <f t="shared" ref="W52:AR52" si="47">IF(W$5="Chapa Galvaniz",IF(W$2="60x150",(W$14),0),0)</f>
        <v>0</v>
      </c>
      <c r="X52" s="21">
        <f t="shared" si="47"/>
        <v>0</v>
      </c>
      <c r="Y52" s="21">
        <f t="shared" si="47"/>
        <v>0</v>
      </c>
      <c r="Z52" s="21">
        <f t="shared" si="47"/>
        <v>0</v>
      </c>
      <c r="AA52" s="21">
        <f t="shared" si="47"/>
        <v>0</v>
      </c>
      <c r="AB52" s="21">
        <f t="shared" si="47"/>
        <v>0</v>
      </c>
      <c r="AC52" s="21">
        <f t="shared" si="47"/>
        <v>0</v>
      </c>
      <c r="AD52" s="21">
        <f t="shared" si="47"/>
        <v>0</v>
      </c>
      <c r="AE52" s="21">
        <f t="shared" si="47"/>
        <v>0</v>
      </c>
      <c r="AF52" s="21">
        <f t="shared" si="47"/>
        <v>0</v>
      </c>
      <c r="AG52" s="21">
        <f t="shared" si="47"/>
        <v>0</v>
      </c>
      <c r="AH52" s="21">
        <f t="shared" si="47"/>
        <v>0</v>
      </c>
      <c r="AI52" s="21">
        <f t="shared" si="47"/>
        <v>0</v>
      </c>
      <c r="AJ52" s="21">
        <f t="shared" si="47"/>
        <v>0</v>
      </c>
      <c r="AK52" s="21">
        <f t="shared" si="47"/>
        <v>18</v>
      </c>
      <c r="AL52" s="21">
        <f t="shared" si="47"/>
        <v>0</v>
      </c>
      <c r="AM52" s="21">
        <f t="shared" si="47"/>
        <v>0</v>
      </c>
      <c r="AN52" s="21">
        <f t="shared" si="47"/>
        <v>0</v>
      </c>
      <c r="AO52" s="21">
        <f t="shared" si="47"/>
        <v>0</v>
      </c>
      <c r="AP52" s="21">
        <f t="shared" si="47"/>
        <v>0</v>
      </c>
      <c r="AQ52" s="21">
        <f t="shared" si="47"/>
        <v>0</v>
      </c>
      <c r="AR52" s="21">
        <f t="shared" si="47"/>
        <v>0</v>
      </c>
      <c r="AS52" s="66" t="s">
        <v>333</v>
      </c>
    </row>
    <row r="53" spans="22:45" ht="30" customHeight="1">
      <c r="V53" s="81">
        <f>SUM(V52:AR52)</f>
        <v>18</v>
      </c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67"/>
    </row>
    <row r="54" spans="22:45">
      <c r="V54" s="21">
        <f>IF(V$5="Chapa Galvaniz",IF(V$2="90x180",(V$14),0),0)</f>
        <v>0</v>
      </c>
      <c r="W54" s="21">
        <f t="shared" ref="W54:AR54" si="48">IF(W$5="Chapa Galvaniz",IF(W$2="90x180",(W$14),0),0)</f>
        <v>0</v>
      </c>
      <c r="X54" s="21">
        <f t="shared" si="48"/>
        <v>0</v>
      </c>
      <c r="Y54" s="21">
        <f t="shared" si="48"/>
        <v>0</v>
      </c>
      <c r="Z54" s="21">
        <f t="shared" si="48"/>
        <v>0</v>
      </c>
      <c r="AA54" s="21">
        <f t="shared" si="48"/>
        <v>0</v>
      </c>
      <c r="AB54" s="21">
        <f t="shared" si="48"/>
        <v>0</v>
      </c>
      <c r="AC54" s="21">
        <f t="shared" si="48"/>
        <v>0</v>
      </c>
      <c r="AD54" s="21">
        <f t="shared" si="48"/>
        <v>0</v>
      </c>
      <c r="AE54" s="21">
        <f t="shared" si="48"/>
        <v>0</v>
      </c>
      <c r="AF54" s="21">
        <f t="shared" si="48"/>
        <v>0</v>
      </c>
      <c r="AG54" s="21">
        <f t="shared" si="48"/>
        <v>0</v>
      </c>
      <c r="AH54" s="21">
        <f t="shared" si="48"/>
        <v>0</v>
      </c>
      <c r="AI54" s="21">
        <f t="shared" si="48"/>
        <v>0</v>
      </c>
      <c r="AJ54" s="21">
        <f t="shared" si="48"/>
        <v>0</v>
      </c>
      <c r="AK54" s="21">
        <f t="shared" si="48"/>
        <v>0</v>
      </c>
      <c r="AL54" s="21">
        <f t="shared" si="48"/>
        <v>4</v>
      </c>
      <c r="AM54" s="21">
        <f t="shared" si="48"/>
        <v>0</v>
      </c>
      <c r="AN54" s="21">
        <f t="shared" si="48"/>
        <v>0</v>
      </c>
      <c r="AO54" s="21">
        <f t="shared" si="48"/>
        <v>0</v>
      </c>
      <c r="AP54" s="21">
        <f t="shared" si="48"/>
        <v>0</v>
      </c>
      <c r="AQ54" s="21">
        <f t="shared" si="48"/>
        <v>0</v>
      </c>
      <c r="AR54" s="21">
        <f t="shared" si="48"/>
        <v>0</v>
      </c>
      <c r="AS54" s="66" t="s">
        <v>334</v>
      </c>
    </row>
    <row r="55" spans="22:45" ht="30" customHeight="1">
      <c r="V55" s="81">
        <f>SUM(V54:AR54)</f>
        <v>4</v>
      </c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67"/>
    </row>
    <row r="56" spans="22:45">
      <c r="V56" s="21">
        <f>IF(V$5="Chapa Galvaniz",IF(V$2="70x180",(V$14),0),0)</f>
        <v>0</v>
      </c>
      <c r="W56" s="21">
        <f t="shared" ref="W56:AR56" si="49">IF(W$5="Chapa Galvaniz",IF(W$2="70x180",(W$14),0),0)</f>
        <v>0</v>
      </c>
      <c r="X56" s="21">
        <f t="shared" si="49"/>
        <v>0</v>
      </c>
      <c r="Y56" s="21">
        <f t="shared" si="49"/>
        <v>0</v>
      </c>
      <c r="Z56" s="21">
        <f t="shared" si="49"/>
        <v>0</v>
      </c>
      <c r="AA56" s="21">
        <f t="shared" si="49"/>
        <v>0</v>
      </c>
      <c r="AB56" s="21">
        <f t="shared" si="49"/>
        <v>0</v>
      </c>
      <c r="AC56" s="21">
        <f t="shared" si="49"/>
        <v>0</v>
      </c>
      <c r="AD56" s="21">
        <f t="shared" si="49"/>
        <v>0</v>
      </c>
      <c r="AE56" s="21">
        <f t="shared" si="49"/>
        <v>0</v>
      </c>
      <c r="AF56" s="21">
        <f t="shared" si="49"/>
        <v>0</v>
      </c>
      <c r="AG56" s="21">
        <f t="shared" si="49"/>
        <v>0</v>
      </c>
      <c r="AH56" s="21">
        <f t="shared" si="49"/>
        <v>0</v>
      </c>
      <c r="AI56" s="21">
        <f t="shared" si="49"/>
        <v>0</v>
      </c>
      <c r="AJ56" s="21">
        <f t="shared" si="49"/>
        <v>0</v>
      </c>
      <c r="AK56" s="21">
        <f t="shared" si="49"/>
        <v>0</v>
      </c>
      <c r="AL56" s="21">
        <f t="shared" si="49"/>
        <v>0</v>
      </c>
      <c r="AM56" s="21">
        <f t="shared" si="49"/>
        <v>1</v>
      </c>
      <c r="AN56" s="21">
        <f t="shared" si="49"/>
        <v>0</v>
      </c>
      <c r="AO56" s="21">
        <f t="shared" si="49"/>
        <v>0</v>
      </c>
      <c r="AP56" s="21">
        <f t="shared" si="49"/>
        <v>0</v>
      </c>
      <c r="AQ56" s="21">
        <f t="shared" si="49"/>
        <v>0</v>
      </c>
      <c r="AR56" s="21">
        <f t="shared" si="49"/>
        <v>0</v>
      </c>
      <c r="AS56" s="66" t="s">
        <v>335</v>
      </c>
    </row>
    <row r="57" spans="22:45" ht="30" customHeight="1">
      <c r="V57" s="76">
        <f>SUM(V56:AR56)</f>
        <v>1</v>
      </c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67"/>
    </row>
  </sheetData>
  <mergeCells count="88">
    <mergeCell ref="AR5:AR6"/>
    <mergeCell ref="V28:AR28"/>
    <mergeCell ref="V30:AR30"/>
    <mergeCell ref="V32:AR32"/>
    <mergeCell ref="V34:AR34"/>
    <mergeCell ref="V36:AR37"/>
    <mergeCell ref="B39:T39"/>
    <mergeCell ref="B41:T41"/>
    <mergeCell ref="B43:T43"/>
    <mergeCell ref="B45:T45"/>
    <mergeCell ref="AQ5:AQ6"/>
    <mergeCell ref="V39:AR39"/>
    <mergeCell ref="V41:AR41"/>
    <mergeCell ref="V43:AR43"/>
    <mergeCell ref="V45:AR45"/>
    <mergeCell ref="AS52:AS53"/>
    <mergeCell ref="AS54:AS55"/>
    <mergeCell ref="AS56:AS57"/>
    <mergeCell ref="V53:AR53"/>
    <mergeCell ref="V55:AR55"/>
    <mergeCell ref="V57:AR57"/>
    <mergeCell ref="AS44:AS45"/>
    <mergeCell ref="AS46:AS47"/>
    <mergeCell ref="AS48:AS49"/>
    <mergeCell ref="AS50:AS51"/>
    <mergeCell ref="V47:AR47"/>
    <mergeCell ref="V49:AR49"/>
    <mergeCell ref="V51:AR51"/>
    <mergeCell ref="AS35:AS37"/>
    <mergeCell ref="AS42:AS43"/>
    <mergeCell ref="A44:A45"/>
    <mergeCell ref="AS27:AS28"/>
    <mergeCell ref="AS29:AS30"/>
    <mergeCell ref="AS31:AS32"/>
    <mergeCell ref="AS33:AS34"/>
    <mergeCell ref="AS40:AS41"/>
    <mergeCell ref="AS38:AS39"/>
    <mergeCell ref="A38:A39"/>
    <mergeCell ref="A40:A41"/>
    <mergeCell ref="A42:A43"/>
    <mergeCell ref="AP5:AP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V5:V6"/>
    <mergeCell ref="W5:W6"/>
    <mergeCell ref="T5:T6"/>
    <mergeCell ref="X5:X6"/>
    <mergeCell ref="Y5:Y6"/>
    <mergeCell ref="R5:R6"/>
    <mergeCell ref="S5:S6"/>
    <mergeCell ref="AE5:AE6"/>
    <mergeCell ref="AF5:AF6"/>
    <mergeCell ref="AG5:AG6"/>
    <mergeCell ref="AH5:AH6"/>
    <mergeCell ref="Z5:Z6"/>
    <mergeCell ref="AA5:AA6"/>
    <mergeCell ref="AB5:AB6"/>
    <mergeCell ref="AC5:AC6"/>
    <mergeCell ref="AD5:AD6"/>
    <mergeCell ref="AN5:AN6"/>
    <mergeCell ref="AO5:AO6"/>
    <mergeCell ref="AI5:AI6"/>
    <mergeCell ref="AJ5:AJ6"/>
    <mergeCell ref="AK5:AK6"/>
    <mergeCell ref="AL5:AL6"/>
    <mergeCell ref="AM5:AM6"/>
    <mergeCell ref="A27:A28"/>
    <mergeCell ref="A29:A30"/>
    <mergeCell ref="A31:A32"/>
    <mergeCell ref="A33:A34"/>
    <mergeCell ref="B28:T28"/>
    <mergeCell ref="B30:T30"/>
    <mergeCell ref="B32:T32"/>
    <mergeCell ref="B34:T34"/>
  </mergeCells>
  <pageMargins left="0.511811024" right="0.511811024" top="0.78740157499999996" bottom="0.78740157499999996" header="0.31496062000000002" footer="0.31496062000000002"/>
  <pageSetup paperSize="9" scale="42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X12"/>
  <sheetViews>
    <sheetView zoomScale="85" zoomScaleNormal="85" workbookViewId="0">
      <pane xSplit="1" topLeftCell="AL1" activePane="topRight" state="frozen"/>
      <selection pane="topRight" activeCell="AX9" sqref="AX9"/>
    </sheetView>
  </sheetViews>
  <sheetFormatPr defaultRowHeight="15"/>
  <cols>
    <col min="1" max="1" width="20.7109375" style="5" customWidth="1"/>
    <col min="2" max="43" width="12.7109375" style="5" customWidth="1"/>
    <col min="44" max="44" width="12.7109375" style="5" hidden="1" customWidth="1"/>
    <col min="45" max="50" width="12.7109375" style="5" customWidth="1"/>
    <col min="51" max="16384" width="9.140625" style="5"/>
  </cols>
  <sheetData>
    <row r="1" spans="1:50" ht="75" customHeight="1">
      <c r="A1" s="1"/>
      <c r="B1" s="18" t="s">
        <v>139</v>
      </c>
      <c r="C1" s="17" t="s">
        <v>138</v>
      </c>
      <c r="D1" s="17" t="s">
        <v>144</v>
      </c>
      <c r="E1" s="17" t="s">
        <v>145</v>
      </c>
      <c r="F1" s="18" t="s">
        <v>140</v>
      </c>
      <c r="G1" s="17" t="s">
        <v>32</v>
      </c>
      <c r="H1" s="17" t="s">
        <v>36</v>
      </c>
      <c r="I1" s="17" t="s">
        <v>148</v>
      </c>
      <c r="J1" s="17" t="s">
        <v>33</v>
      </c>
      <c r="K1" s="17" t="s">
        <v>39</v>
      </c>
      <c r="L1" s="17" t="s">
        <v>142</v>
      </c>
      <c r="M1" s="17" t="s">
        <v>31</v>
      </c>
      <c r="N1" s="17" t="s">
        <v>147</v>
      </c>
      <c r="O1" s="17" t="s">
        <v>146</v>
      </c>
      <c r="P1" s="17" t="s">
        <v>141</v>
      </c>
      <c r="Q1" s="17" t="s">
        <v>34</v>
      </c>
      <c r="R1" s="17" t="s">
        <v>35</v>
      </c>
      <c r="S1" s="17" t="s">
        <v>143</v>
      </c>
      <c r="T1" s="17" t="s">
        <v>149</v>
      </c>
      <c r="U1" s="17" t="s">
        <v>37</v>
      </c>
      <c r="V1" s="17" t="s">
        <v>38</v>
      </c>
      <c r="W1" s="17" t="s">
        <v>152</v>
      </c>
      <c r="X1" s="17" t="s">
        <v>153</v>
      </c>
      <c r="Y1" s="17" t="s">
        <v>154</v>
      </c>
      <c r="Z1" s="17" t="s">
        <v>155</v>
      </c>
      <c r="AA1" s="17" t="s">
        <v>156</v>
      </c>
      <c r="AB1" s="17" t="s">
        <v>167</v>
      </c>
      <c r="AC1" s="17" t="s">
        <v>168</v>
      </c>
      <c r="AD1" s="17" t="s">
        <v>157</v>
      </c>
      <c r="AE1" s="17" t="s">
        <v>158</v>
      </c>
      <c r="AF1" s="17" t="s">
        <v>159</v>
      </c>
      <c r="AG1" s="17" t="s">
        <v>171</v>
      </c>
      <c r="AH1" s="17" t="s">
        <v>169</v>
      </c>
      <c r="AI1" s="17" t="s">
        <v>160</v>
      </c>
      <c r="AJ1" s="17" t="s">
        <v>150</v>
      </c>
      <c r="AK1" s="17" t="s">
        <v>151</v>
      </c>
      <c r="AL1" s="17" t="s">
        <v>162</v>
      </c>
      <c r="AM1" s="17" t="s">
        <v>163</v>
      </c>
      <c r="AN1" s="17" t="s">
        <v>164</v>
      </c>
      <c r="AO1" s="17" t="s">
        <v>165</v>
      </c>
      <c r="AP1" s="17" t="s">
        <v>176</v>
      </c>
      <c r="AQ1" s="17" t="s">
        <v>166</v>
      </c>
      <c r="AR1" s="17" t="s">
        <v>161</v>
      </c>
      <c r="AS1" s="17" t="s">
        <v>170</v>
      </c>
      <c r="AT1" s="17" t="s">
        <v>172</v>
      </c>
      <c r="AU1" s="17" t="s">
        <v>173</v>
      </c>
      <c r="AV1" s="17" t="s">
        <v>174</v>
      </c>
      <c r="AW1" s="17" t="s">
        <v>175</v>
      </c>
      <c r="AX1" s="17" t="s">
        <v>299</v>
      </c>
    </row>
    <row r="2" spans="1:50">
      <c r="A2" s="34" t="s">
        <v>237</v>
      </c>
      <c r="B2" s="19">
        <f>[1]Diver!$B$57</f>
        <v>2</v>
      </c>
      <c r="C2" s="19">
        <f>[1]Diver!$C$57</f>
        <v>2</v>
      </c>
      <c r="D2" s="19">
        <f>[1]Diver!$D$57</f>
        <v>4</v>
      </c>
      <c r="E2" s="19">
        <f>[1]Diver!$E$57</f>
        <v>2</v>
      </c>
      <c r="F2" s="19">
        <f>[1]Diver!$F$57</f>
        <v>5</v>
      </c>
      <c r="G2" s="19">
        <f>[1]Diver!$G$57</f>
        <v>5</v>
      </c>
      <c r="H2" s="19">
        <f>[1]Diver!$H$57</f>
        <v>7</v>
      </c>
      <c r="I2" s="19">
        <f>[1]Diver!$I$57</f>
        <v>0</v>
      </c>
      <c r="J2" s="19">
        <f>[1]Diver!$J$57</f>
        <v>2</v>
      </c>
      <c r="K2" s="19">
        <f>[1]Diver!$K$57</f>
        <v>5</v>
      </c>
      <c r="L2" s="19">
        <f>[1]Diver!$L$57</f>
        <v>5</v>
      </c>
      <c r="M2" s="19">
        <f>[1]Diver!$M$57</f>
        <v>2</v>
      </c>
      <c r="N2" s="19">
        <f>[1]Diver!$N$57</f>
        <v>2</v>
      </c>
      <c r="O2" s="19">
        <f>[1]Diver!$O$57</f>
        <v>4</v>
      </c>
      <c r="P2" s="23">
        <f>[1]Diver!$P$57</f>
        <v>7.8120000000000003</v>
      </c>
      <c r="Q2" s="19">
        <f>[1]Diver!$Q$57</f>
        <v>10</v>
      </c>
      <c r="R2" s="19">
        <f>[1]Diver!$R$57</f>
        <v>10</v>
      </c>
      <c r="S2" s="19">
        <f>[1]Diver!$S$57</f>
        <v>6</v>
      </c>
      <c r="T2" s="19">
        <f>[1]Diver!$T$57</f>
        <v>10</v>
      </c>
      <c r="U2" s="23">
        <f>[1]Diver!$U$57</f>
        <v>13.562999999999999</v>
      </c>
      <c r="V2" s="23">
        <f>[1]Diver!$V$57</f>
        <v>2.6775000000000002</v>
      </c>
      <c r="W2" s="20">
        <f>[1]Diver!$W$57</f>
        <v>37.204999999999998</v>
      </c>
      <c r="X2" s="20">
        <f>[1]Diver!$X$57</f>
        <v>27.405000000000001</v>
      </c>
      <c r="Y2" s="19">
        <f>[1]Diver!$Y$57</f>
        <v>8</v>
      </c>
      <c r="Z2" s="31">
        <f>[1]Diver!$Z$57</f>
        <v>0</v>
      </c>
      <c r="AA2" s="19">
        <f>[1]Diver!$AA$57</f>
        <v>3</v>
      </c>
      <c r="AB2" s="19">
        <f>[1]Diver!$AB$57</f>
        <v>2</v>
      </c>
      <c r="AC2" s="19">
        <f>[1]Diver!$AC$57</f>
        <v>2</v>
      </c>
      <c r="AD2" s="19">
        <f>[1]Diver!$AD$57</f>
        <v>11</v>
      </c>
      <c r="AE2" s="19">
        <f>[1]Diver!$AE$57</f>
        <v>3</v>
      </c>
      <c r="AF2" s="19">
        <f>[1]Diver!$AF$57</f>
        <v>3</v>
      </c>
      <c r="AG2" s="19">
        <f>[1]Diver!$AG$57</f>
        <v>3</v>
      </c>
      <c r="AH2" s="19">
        <f>[1]Diver!$AH$57</f>
        <v>2</v>
      </c>
      <c r="AI2" s="23">
        <f>[1]Diver!$AI$57</f>
        <v>46.962000000000003</v>
      </c>
      <c r="AJ2" s="31">
        <f>[1]Diver!$AJ$57</f>
        <v>1</v>
      </c>
      <c r="AK2" s="31">
        <f>[1]Diver!$AK$57</f>
        <v>1</v>
      </c>
      <c r="AL2" s="20">
        <f>[1]Diver!$AL$57</f>
        <v>27.38</v>
      </c>
      <c r="AM2" s="20">
        <f>[1]Diver!$AM$57</f>
        <v>128.92000000000002</v>
      </c>
      <c r="AN2" s="20">
        <f>[1]Diver!$AN$57</f>
        <v>92.73</v>
      </c>
      <c r="AO2" s="19">
        <f>[1]Diver!$AO$57</f>
        <v>0</v>
      </c>
      <c r="AP2" s="20">
        <f>[1]Diver!$AP$57</f>
        <v>0</v>
      </c>
      <c r="AQ2" s="23">
        <f>[1]Diver!$AQ$57</f>
        <v>372.53000000000003</v>
      </c>
      <c r="AR2" s="19">
        <f>[1]Diver!$AR$57</f>
        <v>0</v>
      </c>
      <c r="AS2" s="19">
        <f>[1]Diver!$AS$57</f>
        <v>0</v>
      </c>
      <c r="AT2" s="23">
        <f>[1]Diver!$AT$57</f>
        <v>8.6875</v>
      </c>
      <c r="AU2" s="23">
        <f>[1]Diver!$AU$57</f>
        <v>0</v>
      </c>
      <c r="AV2" s="23">
        <f>[1]Diver!$AV$57</f>
        <v>0</v>
      </c>
      <c r="AW2" s="23">
        <f>[1]Diver!$AW$57</f>
        <v>0</v>
      </c>
      <c r="AX2" s="23">
        <f>[1]Diver!$AX$57</f>
        <v>43.001999999999995</v>
      </c>
    </row>
    <row r="3" spans="1:50">
      <c r="A3" s="34" t="s">
        <v>238</v>
      </c>
      <c r="B3" s="19">
        <f>[2]Diver!$B$57</f>
        <v>7</v>
      </c>
      <c r="C3" s="19">
        <f>[2]Diver!$C$57</f>
        <v>7</v>
      </c>
      <c r="D3" s="19">
        <f>[2]Diver!$D$57</f>
        <v>14</v>
      </c>
      <c r="E3" s="19">
        <f>[2]Diver!$E$57</f>
        <v>7</v>
      </c>
      <c r="F3" s="19">
        <f>[2]Diver!$F$57</f>
        <v>10</v>
      </c>
      <c r="G3" s="19">
        <f>[2]Diver!$G$57</f>
        <v>10</v>
      </c>
      <c r="H3" s="19">
        <f>[2]Diver!$H$57</f>
        <v>9</v>
      </c>
      <c r="I3" s="19">
        <f>[2]Diver!$I$57</f>
        <v>8</v>
      </c>
      <c r="J3" s="19">
        <f>[2]Diver!$J$57</f>
        <v>7</v>
      </c>
      <c r="K3" s="19">
        <f>[2]Diver!$K$57</f>
        <v>3</v>
      </c>
      <c r="L3" s="19">
        <f>[2]Diver!$L$57</f>
        <v>3</v>
      </c>
      <c r="M3" s="19">
        <f>[2]Diver!$M$57</f>
        <v>2</v>
      </c>
      <c r="N3" s="19">
        <f>[2]Diver!$N$57</f>
        <v>2</v>
      </c>
      <c r="O3" s="19">
        <f>[2]Diver!$O$57</f>
        <v>4</v>
      </c>
      <c r="P3" s="23">
        <f>[2]Diver!$P$57</f>
        <v>11.132999999999999</v>
      </c>
      <c r="Q3" s="19">
        <f>[2]Diver!$Q$57</f>
        <v>37</v>
      </c>
      <c r="R3" s="19">
        <f>[2]Diver!$R$57</f>
        <v>37</v>
      </c>
      <c r="S3" s="19">
        <f>[2]Diver!$S$57</f>
        <v>37</v>
      </c>
      <c r="T3" s="19">
        <f>[2]Diver!$T$57</f>
        <v>18</v>
      </c>
      <c r="U3" s="23">
        <f>[2]Diver!$U$57</f>
        <v>22.852500000000003</v>
      </c>
      <c r="V3" s="23">
        <f>[2]Diver!$V$57</f>
        <v>8.3500000000000014</v>
      </c>
      <c r="W3" s="20">
        <f>[2]Diver!$W$57</f>
        <v>68.795000000000002</v>
      </c>
      <c r="X3" s="20">
        <f>[2]Diver!$X$57</f>
        <v>54.695</v>
      </c>
      <c r="Y3" s="19">
        <f>[2]Diver!$Y$57</f>
        <v>13</v>
      </c>
      <c r="Z3" s="19">
        <f>[2]Diver!$Z$57</f>
        <v>0</v>
      </c>
      <c r="AA3" s="19">
        <f>[2]Diver!$AA$57</f>
        <v>21</v>
      </c>
      <c r="AB3" s="19">
        <f>[2]Diver!$AB$57</f>
        <v>7</v>
      </c>
      <c r="AC3" s="19">
        <f>[2]Diver!$AC$57</f>
        <v>7</v>
      </c>
      <c r="AD3" s="19">
        <f>[2]Diver!$AD$57</f>
        <v>34</v>
      </c>
      <c r="AE3" s="19">
        <f>[2]Diver!$AE$57</f>
        <v>13</v>
      </c>
      <c r="AF3" s="19">
        <f>[2]Diver!$AF$57</f>
        <v>13</v>
      </c>
      <c r="AG3" s="19">
        <f>[2]Diver!$AG$57</f>
        <v>2</v>
      </c>
      <c r="AH3" s="19">
        <f>[2]Diver!$AH$57</f>
        <v>5</v>
      </c>
      <c r="AI3" s="23">
        <f>[2]Diver!$AI$57</f>
        <v>24.246000000000002</v>
      </c>
      <c r="AJ3" s="31">
        <f>[2]Diver!$AJ$57</f>
        <v>1</v>
      </c>
      <c r="AK3" s="31">
        <f>[2]Diver!$AK$57</f>
        <v>1</v>
      </c>
      <c r="AL3" s="20">
        <f>[2]Diver!$AL$57</f>
        <v>95.41</v>
      </c>
      <c r="AM3" s="20">
        <f>[2]Diver!$AM$57</f>
        <v>224.06000000000003</v>
      </c>
      <c r="AN3" s="20">
        <f>[2]Diver!$AN$57</f>
        <v>146.09</v>
      </c>
      <c r="AO3" s="19">
        <f>[2]Diver!$AO$57</f>
        <v>0</v>
      </c>
      <c r="AP3" s="20">
        <f>[2]Diver!$AP$57</f>
        <v>0</v>
      </c>
      <c r="AQ3" s="23">
        <f>[2]Diver!$AQ$57</f>
        <v>48.93</v>
      </c>
      <c r="AR3" s="19">
        <f>[2]Diver!$AR$57</f>
        <v>2</v>
      </c>
      <c r="AS3" s="19">
        <f>[2]Diver!$AS$57</f>
        <v>2</v>
      </c>
      <c r="AT3" s="23">
        <f>[2]Diver!$AT$57</f>
        <v>21.490000000000002</v>
      </c>
      <c r="AU3" s="23">
        <f>[2]Diver!$AU$57</f>
        <v>6.46</v>
      </c>
      <c r="AV3" s="23">
        <f>[2]Diver!$AV$57</f>
        <v>30.26</v>
      </c>
      <c r="AW3" s="23">
        <f>[2]Diver!$AW$57</f>
        <v>0</v>
      </c>
      <c r="AX3" s="23">
        <f>[2]Diver!$AX$57</f>
        <v>0</v>
      </c>
    </row>
    <row r="4" spans="1:50">
      <c r="A4" s="34" t="s">
        <v>239</v>
      </c>
      <c r="B4" s="19">
        <f>[3]Diver!$B$57</f>
        <v>12</v>
      </c>
      <c r="C4" s="19">
        <f>[3]Diver!$C$57</f>
        <v>12</v>
      </c>
      <c r="D4" s="19">
        <f>[3]Diver!$D$57</f>
        <v>24</v>
      </c>
      <c r="E4" s="19">
        <f>[3]Diver!$E$57</f>
        <v>12</v>
      </c>
      <c r="F4" s="19">
        <f>[3]Diver!$F$57</f>
        <v>0</v>
      </c>
      <c r="G4" s="19">
        <f>[3]Diver!$G$57</f>
        <v>0</v>
      </c>
      <c r="H4" s="19">
        <f>[3]Diver!$H$57</f>
        <v>12</v>
      </c>
      <c r="I4" s="19">
        <f>[3]Diver!$I$57</f>
        <v>0</v>
      </c>
      <c r="J4" s="19">
        <f>[3]Diver!$J$57</f>
        <v>12</v>
      </c>
      <c r="K4" s="19">
        <f>[3]Diver!$K$57</f>
        <v>12</v>
      </c>
      <c r="L4" s="19">
        <f>[3]Diver!$L$57</f>
        <v>12</v>
      </c>
      <c r="M4" s="19">
        <f>[3]Diver!$M$57</f>
        <v>12</v>
      </c>
      <c r="N4" s="19">
        <f>[3]Diver!$N$57</f>
        <v>12</v>
      </c>
      <c r="O4" s="19">
        <f>[3]Diver!$O$57</f>
        <v>24</v>
      </c>
      <c r="P4" s="23">
        <f>[3]Diver!$P$57</f>
        <v>6.48</v>
      </c>
      <c r="Q4" s="19">
        <f>[3]Diver!$Q$57</f>
        <v>28</v>
      </c>
      <c r="R4" s="19">
        <f>[3]Diver!$R$57</f>
        <v>28</v>
      </c>
      <c r="S4" s="19">
        <f>[3]Diver!$S$57</f>
        <v>28</v>
      </c>
      <c r="T4" s="19">
        <f>[3]Diver!$T$57</f>
        <v>12</v>
      </c>
      <c r="U4" s="23">
        <f>[3]Diver!$U$57</f>
        <v>13.494</v>
      </c>
      <c r="V4" s="23">
        <f>[3]Diver!$V$57</f>
        <v>13.745000000000001</v>
      </c>
      <c r="W4" s="20">
        <f>[3]Diver!$W$57</f>
        <v>84.619999999999976</v>
      </c>
      <c r="X4" s="20">
        <f>[3]Diver!$X$57</f>
        <v>32.69</v>
      </c>
      <c r="Y4" s="19">
        <f>[3]Diver!$Y$57</f>
        <v>6</v>
      </c>
      <c r="Z4" s="19">
        <f>[3]Diver!$Z$57</f>
        <v>0</v>
      </c>
      <c r="AA4" s="19">
        <f>[3]Diver!$AA$57</f>
        <v>20</v>
      </c>
      <c r="AB4" s="19">
        <f>[3]Diver!$AB$57</f>
        <v>12</v>
      </c>
      <c r="AC4" s="19">
        <f>[3]Diver!$AC$57</f>
        <v>12</v>
      </c>
      <c r="AD4" s="19">
        <f>[3]Diver!$AD$57</f>
        <v>26</v>
      </c>
      <c r="AE4" s="19">
        <f>[3]Diver!$AE$57</f>
        <v>8</v>
      </c>
      <c r="AF4" s="19">
        <f>[3]Diver!$AF$57</f>
        <v>8</v>
      </c>
      <c r="AG4" s="19">
        <f>[3]Diver!$AG$57</f>
        <v>1</v>
      </c>
      <c r="AH4" s="19">
        <f>[3]Diver!$AH$57</f>
        <v>12</v>
      </c>
      <c r="AI4" s="23">
        <f>[3]Diver!$AI$57</f>
        <v>0</v>
      </c>
      <c r="AJ4" s="31">
        <f>[3]Diver!$AJ$57</f>
        <v>1</v>
      </c>
      <c r="AK4" s="31">
        <f>[3]Diver!$AK$57</f>
        <v>1</v>
      </c>
      <c r="AL4" s="20">
        <f>[3]Diver!$AL$57</f>
        <v>102.03999999999999</v>
      </c>
      <c r="AM4" s="20">
        <f>[3]Diver!$AM$57</f>
        <v>142.48000000000002</v>
      </c>
      <c r="AN4" s="20">
        <f>[3]Diver!$AN$57</f>
        <v>74.78</v>
      </c>
      <c r="AO4" s="19">
        <f>[3]Diver!$AO$57</f>
        <v>0</v>
      </c>
      <c r="AP4" s="20">
        <f>[3]Diver!$AP$57</f>
        <v>0</v>
      </c>
      <c r="AQ4" s="23">
        <f>[3]Diver!$AQ$57</f>
        <v>0</v>
      </c>
      <c r="AR4" s="19">
        <f>[3]Diver!$AR$57</f>
        <v>0</v>
      </c>
      <c r="AS4" s="19">
        <f>[3]Diver!$AS$57</f>
        <v>0</v>
      </c>
      <c r="AT4" s="23">
        <f>[3]Diver!$AT$57</f>
        <v>19.375000000000004</v>
      </c>
      <c r="AU4" s="23">
        <f>[3]Diver!$AU$57</f>
        <v>6.46</v>
      </c>
      <c r="AV4" s="23">
        <f>[3]Diver!$AV$57</f>
        <v>0</v>
      </c>
      <c r="AW4" s="23">
        <f>[3]Diver!$AW$57</f>
        <v>38.478000000000009</v>
      </c>
      <c r="AX4" s="23">
        <f>[3]Diver!$AX$57</f>
        <v>0</v>
      </c>
    </row>
    <row r="5" spans="1:50">
      <c r="A5" s="34" t="s">
        <v>240</v>
      </c>
      <c r="B5" s="19">
        <f>[4]Diver!$B$57</f>
        <v>2</v>
      </c>
      <c r="C5" s="19">
        <f>[4]Diver!$C$57</f>
        <v>2</v>
      </c>
      <c r="D5" s="19">
        <f>[4]Diver!$D$57</f>
        <v>4</v>
      </c>
      <c r="E5" s="19">
        <f>[4]Diver!$E$57</f>
        <v>2</v>
      </c>
      <c r="F5" s="19">
        <f>[4]Diver!$F$57</f>
        <v>0</v>
      </c>
      <c r="G5" s="19">
        <f>[4]Diver!$G$57</f>
        <v>0</v>
      </c>
      <c r="H5" s="19">
        <f>[4]Diver!$H$57</f>
        <v>2</v>
      </c>
      <c r="I5" s="19">
        <f>[4]Diver!$I$57</f>
        <v>0</v>
      </c>
      <c r="J5" s="19">
        <f>[4]Diver!$J$57</f>
        <v>2</v>
      </c>
      <c r="K5" s="19">
        <f>[4]Diver!$K$57</f>
        <v>2</v>
      </c>
      <c r="L5" s="19">
        <f>[4]Diver!$L$57</f>
        <v>2</v>
      </c>
      <c r="M5" s="19">
        <f>[4]Diver!$M$57</f>
        <v>2</v>
      </c>
      <c r="N5" s="19">
        <f>[4]Diver!$N$57</f>
        <v>2</v>
      </c>
      <c r="O5" s="19">
        <f>[4]Diver!$O$57</f>
        <v>4</v>
      </c>
      <c r="P5" s="23">
        <f>[4]Diver!$P$57</f>
        <v>1.08</v>
      </c>
      <c r="Q5" s="19">
        <f>[4]Diver!$Q$57</f>
        <v>2</v>
      </c>
      <c r="R5" s="19">
        <f>[4]Diver!$R$57</f>
        <v>2</v>
      </c>
      <c r="S5" s="19">
        <f>[4]Diver!$S$57</f>
        <v>2</v>
      </c>
      <c r="T5" s="19">
        <f>[4]Diver!$T$57</f>
        <v>2</v>
      </c>
      <c r="U5" s="23">
        <f>[4]Diver!$U$57</f>
        <v>0</v>
      </c>
      <c r="V5" s="23">
        <f>[4]Diver!$V$57</f>
        <v>0</v>
      </c>
      <c r="W5" s="20">
        <f>[4]Diver!$W$57</f>
        <v>0</v>
      </c>
      <c r="X5" s="20">
        <f>[4]Diver!$X$57</f>
        <v>0</v>
      </c>
      <c r="Y5" s="19">
        <f>[4]Diver!$Y$57</f>
        <v>0</v>
      </c>
      <c r="Z5" s="19">
        <f>[4]Diver!$Z$57</f>
        <v>0</v>
      </c>
      <c r="AA5" s="19">
        <f>[4]Diver!$AA$57</f>
        <v>2</v>
      </c>
      <c r="AB5" s="19">
        <f>[4]Diver!$AB$57</f>
        <v>2</v>
      </c>
      <c r="AC5" s="19">
        <f>[4]Diver!$AC$57</f>
        <v>2</v>
      </c>
      <c r="AD5" s="19">
        <f>[4]Diver!$AD$57</f>
        <v>2</v>
      </c>
      <c r="AE5" s="19">
        <f>[4]Diver!$AE$57</f>
        <v>0</v>
      </c>
      <c r="AF5" s="19">
        <f>[4]Diver!$AF$57</f>
        <v>0</v>
      </c>
      <c r="AG5" s="19">
        <f>[4]Diver!$AG$57</f>
        <v>0</v>
      </c>
      <c r="AH5" s="19">
        <f>[4]Diver!$AH$57</f>
        <v>2</v>
      </c>
      <c r="AI5" s="23">
        <f>[4]Diver!$AI$57</f>
        <v>0</v>
      </c>
      <c r="AJ5" s="31">
        <f>[4]Diver!$AJ$57</f>
        <v>0</v>
      </c>
      <c r="AK5" s="31">
        <f>[4]Diver!$AK$57</f>
        <v>0</v>
      </c>
      <c r="AL5" s="20">
        <f>[4]Diver!$AL$57</f>
        <v>0</v>
      </c>
      <c r="AM5" s="20">
        <f>[4]Diver!$AM$57</f>
        <v>142.48000000000002</v>
      </c>
      <c r="AN5" s="20">
        <f>[4]Diver!$AN$57</f>
        <v>74.78</v>
      </c>
      <c r="AO5" s="19">
        <f>[4]Diver!$AO$57</f>
        <v>0</v>
      </c>
      <c r="AP5" s="20">
        <f>[4]Diver!$AP$57</f>
        <v>0</v>
      </c>
      <c r="AQ5" s="23">
        <f>[4]Diver!$AQ$57</f>
        <v>0</v>
      </c>
      <c r="AR5" s="19">
        <f>[4]Diver!$AR$57</f>
        <v>0</v>
      </c>
      <c r="AS5" s="19">
        <f>[4]Diver!$AS$57</f>
        <v>0</v>
      </c>
      <c r="AT5" s="23">
        <f>[4]Diver!$AT$57</f>
        <v>17.162500000000001</v>
      </c>
      <c r="AU5" s="23">
        <f>[4]Diver!$AU$57</f>
        <v>6.46</v>
      </c>
      <c r="AV5" s="23">
        <f>[4]Diver!$AV$57</f>
        <v>0</v>
      </c>
      <c r="AW5" s="23">
        <f>[4]Diver!$AW$57</f>
        <v>0</v>
      </c>
      <c r="AX5" s="23">
        <f>[4]Diver!$AX$57</f>
        <v>0</v>
      </c>
    </row>
    <row r="6" spans="1:50">
      <c r="A6" s="34" t="s">
        <v>241</v>
      </c>
      <c r="B6" s="19">
        <f>[5]Diver!$B$57</f>
        <v>2</v>
      </c>
      <c r="C6" s="19">
        <f>[5]Diver!$C$57</f>
        <v>2</v>
      </c>
      <c r="D6" s="19">
        <f>[5]Diver!$D$57</f>
        <v>4</v>
      </c>
      <c r="E6" s="19">
        <f>[5]Diver!$E$57</f>
        <v>2</v>
      </c>
      <c r="F6" s="19">
        <f>[5]Diver!$F$57</f>
        <v>0</v>
      </c>
      <c r="G6" s="19">
        <f>[5]Diver!$G$57</f>
        <v>0</v>
      </c>
      <c r="H6" s="19">
        <f>[5]Diver!$H$57</f>
        <v>2</v>
      </c>
      <c r="I6" s="19">
        <f>[5]Diver!$I$57</f>
        <v>0</v>
      </c>
      <c r="J6" s="19">
        <f>[5]Diver!$J$57</f>
        <v>2</v>
      </c>
      <c r="K6" s="19">
        <f>[5]Diver!$K$57</f>
        <v>2</v>
      </c>
      <c r="L6" s="19">
        <f>[5]Diver!$L$57</f>
        <v>2</v>
      </c>
      <c r="M6" s="19">
        <f>[5]Diver!$M$57</f>
        <v>2</v>
      </c>
      <c r="N6" s="19">
        <f>[5]Diver!$N$57</f>
        <v>2</v>
      </c>
      <c r="O6" s="19">
        <f>[5]Diver!$O$57</f>
        <v>4</v>
      </c>
      <c r="P6" s="23">
        <f>[5]Diver!$P$57</f>
        <v>1.08</v>
      </c>
      <c r="Q6" s="19">
        <f>[5]Diver!$Q$57</f>
        <v>2</v>
      </c>
      <c r="R6" s="19">
        <f>[5]Diver!$R$57</f>
        <v>2</v>
      </c>
      <c r="S6" s="19">
        <f>[5]Diver!$S$57</f>
        <v>2</v>
      </c>
      <c r="T6" s="19">
        <f>[5]Diver!$T$57</f>
        <v>2</v>
      </c>
      <c r="U6" s="23">
        <f>[5]Diver!$U$57</f>
        <v>0</v>
      </c>
      <c r="V6" s="23">
        <f>[5]Diver!$V$57</f>
        <v>0</v>
      </c>
      <c r="W6" s="20">
        <f>[5]Diver!$W$57</f>
        <v>0</v>
      </c>
      <c r="X6" s="20">
        <f>[5]Diver!$X$57</f>
        <v>0</v>
      </c>
      <c r="Y6" s="19">
        <f>[5]Diver!$Y$57</f>
        <v>0</v>
      </c>
      <c r="Z6" s="19">
        <f>[5]Diver!$Z$57</f>
        <v>0</v>
      </c>
      <c r="AA6" s="19">
        <f>[5]Diver!$AA$57</f>
        <v>2</v>
      </c>
      <c r="AB6" s="19">
        <f>[5]Diver!$AB$57</f>
        <v>2</v>
      </c>
      <c r="AC6" s="19">
        <f>[5]Diver!$AC$57</f>
        <v>2</v>
      </c>
      <c r="AD6" s="19">
        <f>[5]Diver!$AD$57</f>
        <v>2</v>
      </c>
      <c r="AE6" s="19">
        <f>[5]Diver!$AE$57</f>
        <v>0</v>
      </c>
      <c r="AF6" s="19">
        <f>[5]Diver!$AF$57</f>
        <v>0</v>
      </c>
      <c r="AG6" s="19">
        <f>[5]Diver!$AG$57</f>
        <v>0</v>
      </c>
      <c r="AH6" s="19">
        <f>[5]Diver!$AH$57</f>
        <v>2</v>
      </c>
      <c r="AI6" s="23">
        <f>[5]Diver!$AI$57</f>
        <v>0</v>
      </c>
      <c r="AJ6" s="31">
        <f>[5]Diver!$AJ$57</f>
        <v>0</v>
      </c>
      <c r="AK6" s="31">
        <f>[5]Diver!$AK$57</f>
        <v>0</v>
      </c>
      <c r="AL6" s="20">
        <f>[5]Diver!$AL$57</f>
        <v>0</v>
      </c>
      <c r="AM6" s="20">
        <f>[5]Diver!$AM$57</f>
        <v>39.68</v>
      </c>
      <c r="AN6" s="20">
        <f>[5]Diver!$AN$57</f>
        <v>10.88</v>
      </c>
      <c r="AO6" s="19">
        <f>[5]Diver!$AO$57</f>
        <v>1</v>
      </c>
      <c r="AP6" s="20">
        <f>[5]Diver!$AP$57</f>
        <v>3.75</v>
      </c>
      <c r="AQ6" s="23">
        <f>[5]Diver!$AQ$57</f>
        <v>0</v>
      </c>
      <c r="AR6" s="19">
        <f>[5]Diver!$AR$57</f>
        <v>0</v>
      </c>
      <c r="AS6" s="19">
        <f>[5]Diver!$AS$57</f>
        <v>0</v>
      </c>
      <c r="AT6" s="23">
        <f>[5]Diver!$AT$57</f>
        <v>17.162500000000001</v>
      </c>
      <c r="AU6" s="23">
        <f>[5]Diver!$AU$57</f>
        <v>6.46</v>
      </c>
      <c r="AV6" s="23">
        <f>[5]Diver!$AV$57</f>
        <v>0</v>
      </c>
      <c r="AW6" s="23">
        <f>[5]Diver!$AW$57</f>
        <v>0</v>
      </c>
      <c r="AX6" s="23">
        <f>[5]Diver!$AX$57</f>
        <v>0</v>
      </c>
    </row>
    <row r="7" spans="1:50">
      <c r="A7" s="37" t="s">
        <v>242</v>
      </c>
      <c r="B7" s="19">
        <f>[6]Diver!$B$57</f>
        <v>0</v>
      </c>
      <c r="C7" s="19">
        <f>[6]Diver!$C$57</f>
        <v>0</v>
      </c>
      <c r="D7" s="19">
        <f>[6]Diver!$D$57</f>
        <v>0</v>
      </c>
      <c r="E7" s="19">
        <f>[6]Diver!$E$57</f>
        <v>0</v>
      </c>
      <c r="F7" s="19">
        <f>[6]Diver!$F$57</f>
        <v>0</v>
      </c>
      <c r="G7" s="19">
        <f>[6]Diver!$G$57</f>
        <v>0</v>
      </c>
      <c r="H7" s="19">
        <f>[6]Diver!$H$57</f>
        <v>0</v>
      </c>
      <c r="I7" s="19">
        <f>[6]Diver!$I$57</f>
        <v>0</v>
      </c>
      <c r="J7" s="19">
        <f>[6]Diver!$J$57</f>
        <v>0</v>
      </c>
      <c r="K7" s="19">
        <f>[6]Diver!$K$57</f>
        <v>0</v>
      </c>
      <c r="L7" s="19">
        <f>[6]Diver!$L$57</f>
        <v>0</v>
      </c>
      <c r="M7" s="19">
        <f>[6]Diver!$M$57</f>
        <v>0</v>
      </c>
      <c r="N7" s="19">
        <f>[6]Diver!$N$57</f>
        <v>0</v>
      </c>
      <c r="O7" s="19">
        <f>[6]Diver!$O$57</f>
        <v>0</v>
      </c>
      <c r="P7" s="23">
        <f>[6]Diver!$P$57</f>
        <v>0</v>
      </c>
      <c r="Q7" s="19">
        <f>[6]Diver!$Q$57</f>
        <v>0</v>
      </c>
      <c r="R7" s="19">
        <f>[6]Diver!$R$57</f>
        <v>0</v>
      </c>
      <c r="S7" s="19">
        <f>[6]Diver!$S$57</f>
        <v>0</v>
      </c>
      <c r="T7" s="19">
        <f>[6]Diver!$T$57</f>
        <v>0</v>
      </c>
      <c r="U7" s="23">
        <f>[6]Diver!$U$57</f>
        <v>0</v>
      </c>
      <c r="V7" s="23">
        <f>[6]Diver!$V$57</f>
        <v>0</v>
      </c>
      <c r="W7" s="20">
        <f>[6]Diver!$W$57</f>
        <v>0</v>
      </c>
      <c r="X7" s="20">
        <f>[6]Diver!$X$57</f>
        <v>0</v>
      </c>
      <c r="Y7" s="19">
        <f>[6]Diver!$Y$57</f>
        <v>0</v>
      </c>
      <c r="Z7" s="19">
        <f>[6]Diver!$Z$57</f>
        <v>0</v>
      </c>
      <c r="AA7" s="19">
        <f>[6]Diver!$AA$57</f>
        <v>0</v>
      </c>
      <c r="AB7" s="19">
        <f>[6]Diver!$AB$57</f>
        <v>0</v>
      </c>
      <c r="AC7" s="19">
        <f>[6]Diver!$AC$57</f>
        <v>0</v>
      </c>
      <c r="AD7" s="19">
        <f>[6]Diver!$AD$57</f>
        <v>0</v>
      </c>
      <c r="AE7" s="19">
        <f>[6]Diver!$AE$57</f>
        <v>0</v>
      </c>
      <c r="AF7" s="19">
        <f>[6]Diver!$AF$57</f>
        <v>0</v>
      </c>
      <c r="AG7" s="19">
        <f>[6]Diver!$AG$57</f>
        <v>0</v>
      </c>
      <c r="AH7" s="19">
        <f>[6]Diver!$AH$57</f>
        <v>0</v>
      </c>
      <c r="AI7" s="23">
        <f>[6]Diver!$AI$57</f>
        <v>0</v>
      </c>
      <c r="AJ7" s="31">
        <f>[6]Diver!$AJ$57</f>
        <v>0</v>
      </c>
      <c r="AK7" s="31">
        <f>[6]Diver!$AK$57</f>
        <v>0</v>
      </c>
      <c r="AL7" s="20">
        <f>[6]Diver!$AL$57</f>
        <v>0</v>
      </c>
      <c r="AM7" s="20">
        <f>[6]Diver!$AM$57</f>
        <v>0</v>
      </c>
      <c r="AN7" s="20">
        <f>[6]Diver!$AN$57</f>
        <v>0</v>
      </c>
      <c r="AO7" s="19">
        <f>[6]Diver!$AO$57</f>
        <v>1</v>
      </c>
      <c r="AP7" s="20">
        <f>[6]Diver!$AP$57</f>
        <v>3.35</v>
      </c>
      <c r="AQ7" s="23">
        <f>[6]Diver!$AQ$57</f>
        <v>0</v>
      </c>
      <c r="AR7" s="19">
        <f>[6]Diver!$AR$57</f>
        <v>0</v>
      </c>
      <c r="AS7" s="19">
        <f>[6]Diver!$AS$57</f>
        <v>0</v>
      </c>
      <c r="AT7" s="23">
        <f>[6]Diver!$AT$57</f>
        <v>1.875</v>
      </c>
      <c r="AU7" s="23">
        <f>[6]Diver!$AU$57</f>
        <v>0</v>
      </c>
      <c r="AV7" s="23">
        <f>[6]Diver!$AV$57</f>
        <v>0</v>
      </c>
      <c r="AW7" s="23">
        <f>[6]Diver!$AW$57</f>
        <v>0</v>
      </c>
      <c r="AX7" s="23">
        <f>[6]Diver!$AX$57</f>
        <v>0</v>
      </c>
    </row>
    <row r="9" spans="1:50">
      <c r="A9" s="34" t="s">
        <v>27</v>
      </c>
      <c r="B9" s="19">
        <f>SUM(B2:B7)</f>
        <v>25</v>
      </c>
      <c r="C9" s="19">
        <f t="shared" ref="C9:AX9" si="0">SUM(C2:C7)</f>
        <v>25</v>
      </c>
      <c r="D9" s="19">
        <f t="shared" si="0"/>
        <v>50</v>
      </c>
      <c r="E9" s="19">
        <f t="shared" si="0"/>
        <v>25</v>
      </c>
      <c r="F9" s="19">
        <f t="shared" si="0"/>
        <v>15</v>
      </c>
      <c r="G9" s="19">
        <f t="shared" si="0"/>
        <v>15</v>
      </c>
      <c r="H9" s="19">
        <f t="shared" si="0"/>
        <v>32</v>
      </c>
      <c r="I9" s="19">
        <f t="shared" si="0"/>
        <v>8</v>
      </c>
      <c r="J9" s="19">
        <f t="shared" si="0"/>
        <v>25</v>
      </c>
      <c r="K9" s="19">
        <f t="shared" si="0"/>
        <v>24</v>
      </c>
      <c r="L9" s="19">
        <f t="shared" si="0"/>
        <v>24</v>
      </c>
      <c r="M9" s="19">
        <f t="shared" si="0"/>
        <v>20</v>
      </c>
      <c r="N9" s="19">
        <f t="shared" si="0"/>
        <v>20</v>
      </c>
      <c r="O9" s="19">
        <f t="shared" si="0"/>
        <v>40</v>
      </c>
      <c r="P9" s="23">
        <f t="shared" si="0"/>
        <v>27.585000000000001</v>
      </c>
      <c r="Q9" s="19">
        <f t="shared" si="0"/>
        <v>79</v>
      </c>
      <c r="R9" s="19">
        <f t="shared" si="0"/>
        <v>79</v>
      </c>
      <c r="S9" s="19">
        <f t="shared" si="0"/>
        <v>75</v>
      </c>
      <c r="T9" s="19">
        <f t="shared" si="0"/>
        <v>44</v>
      </c>
      <c r="U9" s="23">
        <f t="shared" si="0"/>
        <v>49.909500000000001</v>
      </c>
      <c r="V9" s="23">
        <f t="shared" si="0"/>
        <v>24.772500000000001</v>
      </c>
      <c r="W9" s="20">
        <f t="shared" si="0"/>
        <v>190.61999999999998</v>
      </c>
      <c r="X9" s="20">
        <f t="shared" si="0"/>
        <v>114.78999999999999</v>
      </c>
      <c r="Y9" s="19">
        <f t="shared" si="0"/>
        <v>27</v>
      </c>
      <c r="Z9" s="19">
        <f t="shared" si="0"/>
        <v>0</v>
      </c>
      <c r="AA9" s="19">
        <f t="shared" si="0"/>
        <v>48</v>
      </c>
      <c r="AB9" s="19">
        <f t="shared" si="0"/>
        <v>25</v>
      </c>
      <c r="AC9" s="19">
        <f t="shared" si="0"/>
        <v>25</v>
      </c>
      <c r="AD9" s="19">
        <f t="shared" si="0"/>
        <v>75</v>
      </c>
      <c r="AE9" s="19">
        <f t="shared" si="0"/>
        <v>24</v>
      </c>
      <c r="AF9" s="19">
        <f t="shared" si="0"/>
        <v>24</v>
      </c>
      <c r="AG9" s="19">
        <f t="shared" si="0"/>
        <v>6</v>
      </c>
      <c r="AH9" s="19">
        <f t="shared" si="0"/>
        <v>23</v>
      </c>
      <c r="AI9" s="23">
        <f t="shared" si="0"/>
        <v>71.207999999999998</v>
      </c>
      <c r="AJ9" s="19">
        <f t="shared" si="0"/>
        <v>3</v>
      </c>
      <c r="AK9" s="19">
        <f t="shared" si="0"/>
        <v>3</v>
      </c>
      <c r="AL9" s="20">
        <f t="shared" si="0"/>
        <v>224.82999999999998</v>
      </c>
      <c r="AM9" s="20">
        <f t="shared" si="0"/>
        <v>677.62</v>
      </c>
      <c r="AN9" s="20">
        <f t="shared" si="0"/>
        <v>399.26</v>
      </c>
      <c r="AO9" s="19">
        <f t="shared" si="0"/>
        <v>2</v>
      </c>
      <c r="AP9" s="20">
        <f t="shared" si="0"/>
        <v>7.1</v>
      </c>
      <c r="AQ9" s="23">
        <f t="shared" si="0"/>
        <v>421.46000000000004</v>
      </c>
      <c r="AR9" s="19">
        <f t="shared" si="0"/>
        <v>2</v>
      </c>
      <c r="AS9" s="19">
        <f t="shared" si="0"/>
        <v>2</v>
      </c>
      <c r="AT9" s="23">
        <f t="shared" si="0"/>
        <v>85.752499999999998</v>
      </c>
      <c r="AU9" s="23">
        <f t="shared" si="0"/>
        <v>25.84</v>
      </c>
      <c r="AV9" s="23">
        <f t="shared" si="0"/>
        <v>30.26</v>
      </c>
      <c r="AW9" s="23">
        <f t="shared" si="0"/>
        <v>38.478000000000009</v>
      </c>
      <c r="AX9" s="23">
        <f t="shared" si="0"/>
        <v>43.001999999999995</v>
      </c>
    </row>
    <row r="11" spans="1:50">
      <c r="B11" s="45" t="s">
        <v>200</v>
      </c>
      <c r="C11" s="45" t="s">
        <v>201</v>
      </c>
      <c r="D11" s="45" t="s">
        <v>202</v>
      </c>
      <c r="E11" s="45" t="s">
        <v>190</v>
      </c>
      <c r="F11" s="45" t="s">
        <v>190</v>
      </c>
      <c r="G11" s="45" t="s">
        <v>203</v>
      </c>
      <c r="H11" s="45" t="s">
        <v>204</v>
      </c>
      <c r="I11" s="45" t="s">
        <v>205</v>
      </c>
      <c r="J11" s="45" t="s">
        <v>206</v>
      </c>
      <c r="K11" s="45" t="s">
        <v>207</v>
      </c>
      <c r="L11" s="45" t="s">
        <v>208</v>
      </c>
      <c r="M11" s="45" t="s">
        <v>209</v>
      </c>
      <c r="N11" s="45" t="s">
        <v>190</v>
      </c>
      <c r="O11" s="45" t="s">
        <v>210</v>
      </c>
      <c r="P11" s="45" t="s">
        <v>211</v>
      </c>
      <c r="Q11" s="45" t="s">
        <v>212</v>
      </c>
      <c r="R11" s="45" t="s">
        <v>213</v>
      </c>
      <c r="S11" s="45" t="s">
        <v>214</v>
      </c>
      <c r="T11" s="45" t="s">
        <v>215</v>
      </c>
      <c r="U11" s="45" t="s">
        <v>216</v>
      </c>
      <c r="V11" s="45" t="s">
        <v>216</v>
      </c>
      <c r="W11" s="45" t="s">
        <v>217</v>
      </c>
      <c r="X11" s="45" t="s">
        <v>218</v>
      </c>
      <c r="Y11" s="45" t="s">
        <v>219</v>
      </c>
      <c r="Z11" s="45" t="s">
        <v>220</v>
      </c>
      <c r="AA11" s="45" t="s">
        <v>221</v>
      </c>
      <c r="AB11" s="45" t="s">
        <v>344</v>
      </c>
      <c r="AC11" s="45" t="s">
        <v>345</v>
      </c>
      <c r="AD11" s="45" t="s">
        <v>222</v>
      </c>
      <c r="AE11" s="45" t="s">
        <v>223</v>
      </c>
      <c r="AF11" s="45" t="s">
        <v>224</v>
      </c>
      <c r="AG11" s="45" t="s">
        <v>190</v>
      </c>
      <c r="AH11" s="45" t="s">
        <v>344</v>
      </c>
      <c r="AI11" s="45" t="s">
        <v>225</v>
      </c>
      <c r="AJ11" s="46" t="s">
        <v>227</v>
      </c>
      <c r="AK11" s="45" t="s">
        <v>226</v>
      </c>
      <c r="AL11" s="45" t="s">
        <v>228</v>
      </c>
      <c r="AM11" s="45" t="s">
        <v>229</v>
      </c>
      <c r="AN11" s="45" t="s">
        <v>230</v>
      </c>
      <c r="AO11" s="45" t="s">
        <v>231</v>
      </c>
      <c r="AP11" s="45" t="s">
        <v>346</v>
      </c>
      <c r="AQ11" s="45" t="s">
        <v>232</v>
      </c>
      <c r="AR11" s="45" t="s">
        <v>233</v>
      </c>
      <c r="AS11" s="45" t="s">
        <v>234</v>
      </c>
      <c r="AT11" s="45" t="s">
        <v>235</v>
      </c>
      <c r="AU11" s="47" t="s">
        <v>236</v>
      </c>
      <c r="AV11" s="47" t="s">
        <v>337</v>
      </c>
      <c r="AW11" s="47" t="s">
        <v>330</v>
      </c>
      <c r="AX11" s="47" t="s">
        <v>336</v>
      </c>
    </row>
    <row r="12" spans="1:50">
      <c r="Z12" s="77" t="s">
        <v>221</v>
      </c>
      <c r="AA12" s="77"/>
    </row>
  </sheetData>
  <mergeCells count="1">
    <mergeCell ref="Z12:AA12"/>
  </mergeCells>
  <conditionalFormatting sqref="B2:B7">
    <cfRule type="cellIs" dxfId="1" priority="2" operator="equal">
      <formula>0</formula>
    </cfRule>
  </conditionalFormatting>
  <conditionalFormatting sqref="B2:AX7">
    <cfRule type="cellIs" dxfId="0" priority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49" orientation="landscape" horizontalDpi="0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00FF00"/>
  </sheetPr>
  <dimension ref="A1:C9"/>
  <sheetViews>
    <sheetView zoomScale="85" zoomScaleNormal="85" workbookViewId="0">
      <selection activeCell="B5" sqref="B5:C6"/>
    </sheetView>
  </sheetViews>
  <sheetFormatPr defaultRowHeight="15"/>
  <cols>
    <col min="1" max="1" width="21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3">
      <c r="A1" s="50" t="s">
        <v>300</v>
      </c>
      <c r="B1" s="50"/>
      <c r="C1" s="50"/>
    </row>
    <row r="2" spans="1:3">
      <c r="A2" s="39" t="s">
        <v>237</v>
      </c>
      <c r="B2" s="55">
        <f>[1]Rev_Cer_Fachada!$B$11:$C$11</f>
        <v>133.20000000000002</v>
      </c>
      <c r="C2" s="56"/>
    </row>
    <row r="3" spans="1:3">
      <c r="A3" s="39" t="s">
        <v>238</v>
      </c>
      <c r="B3" s="55">
        <f>[2]Rev_Cer_Fachada!$B$11:$C$11</f>
        <v>97.875000000000014</v>
      </c>
      <c r="C3" s="56"/>
    </row>
    <row r="4" spans="1:3">
      <c r="A4" s="39" t="s">
        <v>239</v>
      </c>
      <c r="B4" s="55">
        <f>[3]Rev_Cer_Fachada!$B$11:$C$11</f>
        <v>97.875000000000014</v>
      </c>
      <c r="C4" s="56"/>
    </row>
    <row r="5" spans="1:3">
      <c r="A5" s="39" t="s">
        <v>240</v>
      </c>
      <c r="B5" s="55">
        <f>[4]Rev_Cer_Fachada!$B$11:$C$11</f>
        <v>97.875000000000014</v>
      </c>
      <c r="C5" s="56"/>
    </row>
    <row r="6" spans="1:3">
      <c r="A6" s="39" t="s">
        <v>241</v>
      </c>
      <c r="B6" s="55">
        <f>[5]Rev_Cer_Fachada!$B$11:$C$11</f>
        <v>97.875000000000014</v>
      </c>
      <c r="C6" s="56"/>
    </row>
    <row r="7" spans="1:3">
      <c r="A7" s="39" t="s">
        <v>242</v>
      </c>
      <c r="B7" s="55">
        <f>[6]Rev_Cer_Fachada!$B$11:$C$11</f>
        <v>59.662500000000009</v>
      </c>
      <c r="C7" s="56"/>
    </row>
    <row r="9" spans="1:3">
      <c r="A9" s="39" t="s">
        <v>27</v>
      </c>
      <c r="B9" s="55">
        <f>SUM(B2:C7)</f>
        <v>584.36250000000007</v>
      </c>
      <c r="C9" s="56"/>
    </row>
  </sheetData>
  <mergeCells count="8">
    <mergeCell ref="B7:C7"/>
    <mergeCell ref="B9:C9"/>
    <mergeCell ref="A1:C1"/>
    <mergeCell ref="B2:C2"/>
    <mergeCell ref="B3:C3"/>
    <mergeCell ref="B4:C4"/>
    <mergeCell ref="B5:C5"/>
    <mergeCell ref="B6:C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zoomScaleSheetLayoutView="85" workbookViewId="0">
      <selection activeCell="B5" sqref="B5:C6"/>
    </sheetView>
  </sheetViews>
  <sheetFormatPr defaultRowHeight="15"/>
  <cols>
    <col min="1" max="1" width="20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">
      <c r="A1" s="50" t="s">
        <v>245</v>
      </c>
      <c r="B1" s="50"/>
      <c r="C1" s="50"/>
    </row>
    <row r="2" spans="1:3">
      <c r="A2" s="33" t="s">
        <v>237</v>
      </c>
      <c r="B2" s="59">
        <f>[1]Encun!$B$103:$C$103</f>
        <v>283.77999999999997</v>
      </c>
      <c r="C2" s="60"/>
    </row>
    <row r="3" spans="1:3">
      <c r="A3" s="33" t="s">
        <v>238</v>
      </c>
      <c r="B3" s="59">
        <f>[2]Encun!$B$103:$C$103</f>
        <v>599.15999999999974</v>
      </c>
      <c r="C3" s="60"/>
    </row>
    <row r="4" spans="1:3">
      <c r="A4" s="33" t="s">
        <v>239</v>
      </c>
      <c r="B4" s="59">
        <f>[3]Encun!$B$103:$C$103</f>
        <v>500.565</v>
      </c>
      <c r="C4" s="60"/>
    </row>
    <row r="5" spans="1:3">
      <c r="A5" s="33" t="s">
        <v>240</v>
      </c>
      <c r="B5" s="59">
        <f>[4]Encun!$B$103:$C$103</f>
        <v>292.39999999999998</v>
      </c>
      <c r="C5" s="60"/>
    </row>
    <row r="6" spans="1:3">
      <c r="A6" s="33" t="s">
        <v>241</v>
      </c>
      <c r="B6" s="59">
        <f>[5]Encun!$B$103:$C$103</f>
        <v>302.27</v>
      </c>
      <c r="C6" s="60"/>
    </row>
    <row r="7" spans="1:3">
      <c r="A7" s="33" t="s">
        <v>242</v>
      </c>
      <c r="B7" s="59">
        <f>[6]Encun!$B$103:$C$103</f>
        <v>109.87999999999998</v>
      </c>
      <c r="C7" s="60"/>
    </row>
    <row r="9" spans="1:3">
      <c r="A9" s="34" t="s">
        <v>27</v>
      </c>
      <c r="B9" s="57">
        <f>SUM(B2:C7)</f>
        <v>2088.0549999999998</v>
      </c>
      <c r="C9" s="58"/>
    </row>
    <row r="10" spans="1:3">
      <c r="A10" s="5" t="s">
        <v>179</v>
      </c>
    </row>
  </sheetData>
  <mergeCells count="8">
    <mergeCell ref="B9:C9"/>
    <mergeCell ref="B7:C7"/>
    <mergeCell ref="A1:C1"/>
    <mergeCell ref="B2:C2"/>
    <mergeCell ref="B3:C3"/>
    <mergeCell ref="B4:C4"/>
    <mergeCell ref="B5:C5"/>
    <mergeCell ref="B6:C6"/>
  </mergeCells>
  <pageMargins left="0.511811024" right="0.511811024" top="0.78740157499999996" bottom="0.78740157499999996" header="0.31496062000000002" footer="0.31496062000000002"/>
  <pageSetup paperSize="9" scale="42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zoomScaleSheetLayoutView="85" workbookViewId="0">
      <selection activeCell="B6" sqref="B5:C6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16384" width="9.140625" style="5"/>
  </cols>
  <sheetData>
    <row r="1" spans="1:3">
      <c r="A1" s="50" t="s">
        <v>246</v>
      </c>
      <c r="B1" s="50"/>
      <c r="C1" s="50"/>
    </row>
    <row r="2" spans="1:3">
      <c r="A2" s="33" t="s">
        <v>237</v>
      </c>
      <c r="B2" s="61">
        <f>[1]Ver_Jan!$B$36:$C$36</f>
        <v>1.0165950000000001</v>
      </c>
      <c r="C2" s="62"/>
    </row>
    <row r="3" spans="1:3">
      <c r="A3" s="33" t="s">
        <v>238</v>
      </c>
      <c r="B3" s="61">
        <f>[2]Ver_Jan!$B$36:$C$36</f>
        <v>2.7847349999999995</v>
      </c>
      <c r="C3" s="62"/>
    </row>
    <row r="4" spans="1:3">
      <c r="A4" s="33" t="s">
        <v>239</v>
      </c>
      <c r="B4" s="61">
        <f>[3]Ver_Jan!$B$36:$C$36</f>
        <v>2.5037250000000002</v>
      </c>
      <c r="C4" s="62"/>
    </row>
    <row r="5" spans="1:3">
      <c r="A5" s="33" t="s">
        <v>240</v>
      </c>
      <c r="B5" s="61">
        <f>[4]Ver_Jan!$B$36:$C$36</f>
        <v>2.1774</v>
      </c>
      <c r="C5" s="62"/>
    </row>
    <row r="6" spans="1:3">
      <c r="A6" s="33" t="s">
        <v>241</v>
      </c>
      <c r="B6" s="61">
        <f>[5]Ver_Jan!$B$36:$C$36</f>
        <v>2.1774</v>
      </c>
      <c r="C6" s="62"/>
    </row>
    <row r="7" spans="1:3">
      <c r="A7" s="33" t="s">
        <v>242</v>
      </c>
      <c r="B7" s="61">
        <f>[6]Ver_Jan!$B$36:$C$36</f>
        <v>0.24908999999999995</v>
      </c>
      <c r="C7" s="62"/>
    </row>
    <row r="9" spans="1:3">
      <c r="A9" s="34" t="s">
        <v>27</v>
      </c>
      <c r="B9" s="61">
        <f>SUM(B2:C7)</f>
        <v>10.908945000000001</v>
      </c>
      <c r="C9" s="62"/>
    </row>
    <row r="10" spans="1:3">
      <c r="A10" s="5" t="s">
        <v>180</v>
      </c>
    </row>
  </sheetData>
  <mergeCells count="8">
    <mergeCell ref="B9:C9"/>
    <mergeCell ref="B7:C7"/>
    <mergeCell ref="A1:C1"/>
    <mergeCell ref="B2:C2"/>
    <mergeCell ref="B3:C3"/>
    <mergeCell ref="B4:C4"/>
    <mergeCell ref="B5:C5"/>
    <mergeCell ref="B6:C6"/>
  </mergeCells>
  <pageMargins left="0.511811024" right="0.511811024" top="0.78740157499999996" bottom="0.78740157499999996" header="0.31496062000000002" footer="0.31496062000000002"/>
  <pageSetup paperSize="9" scale="42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zoomScaleSheetLayoutView="85" workbookViewId="0">
      <selection activeCell="B6" sqref="B5:C6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16384" width="9.140625" style="5"/>
  </cols>
  <sheetData>
    <row r="1" spans="1:3">
      <c r="A1" s="50" t="s">
        <v>247</v>
      </c>
      <c r="B1" s="50"/>
      <c r="C1" s="50"/>
    </row>
    <row r="2" spans="1:3">
      <c r="A2" s="33" t="s">
        <v>237</v>
      </c>
      <c r="B2" s="61">
        <f>[1]Con_Ver!$B$36:$C$36</f>
        <v>1.0165950000000001</v>
      </c>
      <c r="C2" s="62"/>
    </row>
    <row r="3" spans="1:3">
      <c r="A3" s="33" t="s">
        <v>238</v>
      </c>
      <c r="B3" s="61">
        <f>[2]Con_Ver!$B$36:$C$36</f>
        <v>2.7847349999999995</v>
      </c>
      <c r="C3" s="62"/>
    </row>
    <row r="4" spans="1:3">
      <c r="A4" s="33" t="s">
        <v>239</v>
      </c>
      <c r="B4" s="61">
        <f>[3]Con_Ver!$B$36:$C$36</f>
        <v>2.5037250000000002</v>
      </c>
      <c r="C4" s="62"/>
    </row>
    <row r="5" spans="1:3">
      <c r="A5" s="33" t="s">
        <v>240</v>
      </c>
      <c r="B5" s="61">
        <f>[4]Con_Ver!$B$36:$C$36</f>
        <v>2.1774</v>
      </c>
      <c r="C5" s="62"/>
    </row>
    <row r="6" spans="1:3">
      <c r="A6" s="33" t="s">
        <v>241</v>
      </c>
      <c r="B6" s="61">
        <f>[5]Con_Ver!$B$36:$C$36</f>
        <v>2.1774</v>
      </c>
      <c r="C6" s="62"/>
    </row>
    <row r="7" spans="1:3">
      <c r="A7" s="33" t="s">
        <v>242</v>
      </c>
      <c r="B7" s="61">
        <f>[6]Con_Ver!$B$36:$C$36</f>
        <v>0.24908999999999995</v>
      </c>
      <c r="C7" s="62"/>
    </row>
    <row r="9" spans="1:3">
      <c r="A9" s="34" t="s">
        <v>27</v>
      </c>
      <c r="B9" s="61">
        <f>SUM(B2:C7)</f>
        <v>10.908945000000001</v>
      </c>
      <c r="C9" s="62"/>
    </row>
    <row r="10" spans="1:3">
      <c r="A10" s="5" t="s">
        <v>181</v>
      </c>
    </row>
  </sheetData>
  <mergeCells count="8">
    <mergeCell ref="B9:C9"/>
    <mergeCell ref="B7:C7"/>
    <mergeCell ref="A1:C1"/>
    <mergeCell ref="B2:C2"/>
    <mergeCell ref="B3:C3"/>
    <mergeCell ref="B4:C4"/>
    <mergeCell ref="B5:C5"/>
    <mergeCell ref="B6:C6"/>
  </mergeCells>
  <pageMargins left="0.511811024" right="0.511811024" top="0.78740157499999996" bottom="0.78740157499999996" header="0.31496062000000002" footer="0.31496062000000002"/>
  <pageSetup paperSize="9" scale="42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zoomScaleSheetLayoutView="85" workbookViewId="0">
      <selection activeCell="B5" sqref="B5:C6"/>
    </sheetView>
  </sheetViews>
  <sheetFormatPr defaultRowHeight="15"/>
  <cols>
    <col min="1" max="1" width="20.7109375" style="5" customWidth="1"/>
    <col min="2" max="5" width="10.7109375" style="5" customWidth="1"/>
    <col min="6" max="11" width="7.7109375" style="5" customWidth="1"/>
    <col min="12" max="14" width="10.7109375" style="5" customWidth="1"/>
    <col min="15" max="16" width="9.140625" style="5"/>
    <col min="17" max="17" width="15.7109375" style="5" customWidth="1"/>
    <col min="18" max="20" width="9.140625" style="5"/>
    <col min="21" max="21" width="15.7109375" style="5" customWidth="1"/>
    <col min="22" max="16384" width="9.140625" style="5"/>
  </cols>
  <sheetData>
    <row r="1" spans="1:3">
      <c r="A1" s="50" t="s">
        <v>248</v>
      </c>
      <c r="B1" s="50"/>
      <c r="C1" s="50"/>
    </row>
    <row r="2" spans="1:3">
      <c r="A2" s="33" t="s">
        <v>237</v>
      </c>
      <c r="B2" s="61">
        <f>[1]Ver_Por!$B$49:$C$49</f>
        <v>1.4437530000000001</v>
      </c>
      <c r="C2" s="62"/>
    </row>
    <row r="3" spans="1:3">
      <c r="A3" s="33" t="s">
        <v>238</v>
      </c>
      <c r="B3" s="61">
        <f>[2]Ver_Por!$B$49:$C$49</f>
        <v>2.2035630000000008</v>
      </c>
      <c r="C3" s="62"/>
    </row>
    <row r="4" spans="1:3">
      <c r="A4" s="33" t="s">
        <v>239</v>
      </c>
      <c r="B4" s="61">
        <f>[3]Ver_Por!$B$49:$C$49</f>
        <v>1.531191</v>
      </c>
      <c r="C4" s="62"/>
    </row>
    <row r="5" spans="1:3">
      <c r="A5" s="33" t="s">
        <v>240</v>
      </c>
      <c r="B5" s="61">
        <f>[4]Ver_Por!$B$49:$C$49</f>
        <v>0.5323230000000001</v>
      </c>
      <c r="C5" s="62"/>
    </row>
    <row r="6" spans="1:3">
      <c r="A6" s="33" t="s">
        <v>241</v>
      </c>
      <c r="B6" s="61">
        <f>[5]Ver_Por!$B$49:$C$49</f>
        <v>0.507243</v>
      </c>
      <c r="C6" s="62"/>
    </row>
    <row r="7" spans="1:3">
      <c r="A7" s="33" t="s">
        <v>242</v>
      </c>
      <c r="B7" s="61">
        <f>[6]Ver_Por!$B$49:$C$49</f>
        <v>6.3839999999999994E-2</v>
      </c>
      <c r="C7" s="62"/>
    </row>
    <row r="9" spans="1:3">
      <c r="A9" s="34" t="s">
        <v>27</v>
      </c>
      <c r="B9" s="61">
        <f>SUM(B2:C7)</f>
        <v>6.2819130000000003</v>
      </c>
      <c r="C9" s="62"/>
    </row>
    <row r="10" spans="1:3">
      <c r="A10" s="5" t="s">
        <v>180</v>
      </c>
    </row>
  </sheetData>
  <mergeCells count="8">
    <mergeCell ref="B9:C9"/>
    <mergeCell ref="B7:C7"/>
    <mergeCell ref="A1:C1"/>
    <mergeCell ref="B2:C2"/>
    <mergeCell ref="B3:C3"/>
    <mergeCell ref="B4:C4"/>
    <mergeCell ref="B5:C5"/>
    <mergeCell ref="B6:C6"/>
  </mergeCells>
  <pageMargins left="0.511811024" right="0.511811024" top="0.78740157499999996" bottom="0.78740157499999996" header="0.31496062000000002" footer="0.31496062000000002"/>
  <pageSetup paperSize="9" scale="42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FF00"/>
  </sheetPr>
  <dimension ref="A1:H36"/>
  <sheetViews>
    <sheetView zoomScale="85" zoomScaleNormal="85" workbookViewId="0">
      <selection activeCell="B33" sqref="B33:C33"/>
    </sheetView>
  </sheetViews>
  <sheetFormatPr defaultRowHeight="15"/>
  <cols>
    <col min="1" max="1" width="35.7109375" style="5" customWidth="1"/>
    <col min="2" max="3" width="15.7109375" style="5" customWidth="1"/>
    <col min="4" max="5" width="9.140625" style="5"/>
    <col min="6" max="6" width="35.7109375" style="5" customWidth="1"/>
    <col min="7" max="8" width="15.7109375" style="5" customWidth="1"/>
    <col min="9" max="9" width="9.140625" style="5"/>
    <col min="10" max="10" width="15.7109375" style="5" customWidth="1"/>
    <col min="11" max="16384" width="9.140625" style="5"/>
  </cols>
  <sheetData>
    <row r="1" spans="1:8">
      <c r="A1" s="33" t="s">
        <v>59</v>
      </c>
      <c r="F1" s="33" t="s">
        <v>60</v>
      </c>
    </row>
    <row r="2" spans="1:8">
      <c r="A2" s="33" t="s">
        <v>237</v>
      </c>
      <c r="B2" s="55">
        <f>[1]Cob!$B$3</f>
        <v>0</v>
      </c>
      <c r="C2" s="56"/>
      <c r="F2" s="33" t="s">
        <v>237</v>
      </c>
      <c r="G2" s="55">
        <f>[1]Cob!$B$6</f>
        <v>0</v>
      </c>
      <c r="H2" s="56"/>
    </row>
    <row r="3" spans="1:8">
      <c r="A3" s="33" t="s">
        <v>238</v>
      </c>
      <c r="B3" s="55">
        <f>[2]Cob!$B$3</f>
        <v>0</v>
      </c>
      <c r="C3" s="56"/>
      <c r="F3" s="33" t="s">
        <v>238</v>
      </c>
      <c r="G3" s="55">
        <f>[2]Cob!$B$6</f>
        <v>34.43</v>
      </c>
      <c r="H3" s="56"/>
    </row>
    <row r="4" spans="1:8">
      <c r="A4" s="33" t="s">
        <v>239</v>
      </c>
      <c r="B4" s="55">
        <f>[3]Cob!$B$3</f>
        <v>0</v>
      </c>
      <c r="C4" s="56"/>
      <c r="F4" s="33" t="s">
        <v>239</v>
      </c>
      <c r="G4" s="55">
        <f>[3]Cob!$B$6</f>
        <v>0</v>
      </c>
      <c r="H4" s="56"/>
    </row>
    <row r="5" spans="1:8">
      <c r="A5" s="33" t="s">
        <v>240</v>
      </c>
      <c r="B5" s="55">
        <f>[4]Cob!$B$3</f>
        <v>0</v>
      </c>
      <c r="C5" s="56"/>
      <c r="F5" s="33" t="s">
        <v>240</v>
      </c>
      <c r="G5" s="55">
        <f>[4]Cob!$B$6</f>
        <v>0</v>
      </c>
      <c r="H5" s="56"/>
    </row>
    <row r="6" spans="1:8">
      <c r="A6" s="33" t="s">
        <v>241</v>
      </c>
      <c r="B6" s="55">
        <f>[5]Cob!$B$3</f>
        <v>0</v>
      </c>
      <c r="C6" s="56"/>
      <c r="F6" s="33" t="s">
        <v>241</v>
      </c>
      <c r="G6" s="55">
        <f>[5]Cob!$B$6</f>
        <v>0</v>
      </c>
      <c r="H6" s="56"/>
    </row>
    <row r="7" spans="1:8">
      <c r="A7" s="33" t="s">
        <v>242</v>
      </c>
      <c r="B7" s="53">
        <f>[6]Cob!$B$3</f>
        <v>1103.9559999999999</v>
      </c>
      <c r="C7" s="54"/>
      <c r="F7" s="33" t="s">
        <v>242</v>
      </c>
      <c r="G7" s="55">
        <f>[6]Cob!$B$6</f>
        <v>62.04</v>
      </c>
      <c r="H7" s="56"/>
    </row>
    <row r="9" spans="1:8">
      <c r="A9" s="34" t="s">
        <v>27</v>
      </c>
      <c r="B9" s="53">
        <f>SUM(B2:C7)</f>
        <v>1103.9559999999999</v>
      </c>
      <c r="C9" s="54"/>
      <c r="F9" s="34" t="s">
        <v>27</v>
      </c>
      <c r="G9" s="55">
        <f>SUM(G2:H7)</f>
        <v>96.47</v>
      </c>
      <c r="H9" s="56"/>
    </row>
    <row r="10" spans="1:8">
      <c r="A10" s="5" t="s">
        <v>182</v>
      </c>
      <c r="F10" s="5" t="s">
        <v>184</v>
      </c>
    </row>
    <row r="14" spans="1:8">
      <c r="A14" s="33" t="s">
        <v>29</v>
      </c>
      <c r="F14" s="33" t="s">
        <v>61</v>
      </c>
    </row>
    <row r="15" spans="1:8">
      <c r="A15" s="33" t="s">
        <v>237</v>
      </c>
      <c r="B15" s="59">
        <f>[1]Cob!$C$4</f>
        <v>0</v>
      </c>
      <c r="C15" s="60"/>
      <c r="F15" s="33" t="s">
        <v>237</v>
      </c>
      <c r="G15" s="55">
        <f>[1]Cob!$B$7</f>
        <v>0</v>
      </c>
      <c r="H15" s="56"/>
    </row>
    <row r="16" spans="1:8">
      <c r="A16" s="33" t="s">
        <v>238</v>
      </c>
      <c r="B16" s="59">
        <f>[2]Cob!$C$4</f>
        <v>0</v>
      </c>
      <c r="C16" s="60"/>
      <c r="F16" s="33" t="s">
        <v>238</v>
      </c>
      <c r="G16" s="55">
        <f>[2]Cob!$B$7</f>
        <v>34.43</v>
      </c>
      <c r="H16" s="56"/>
    </row>
    <row r="17" spans="1:8">
      <c r="A17" s="33" t="s">
        <v>239</v>
      </c>
      <c r="B17" s="59">
        <f>[3]Cob!$C$4</f>
        <v>0</v>
      </c>
      <c r="C17" s="60"/>
      <c r="F17" s="33" t="s">
        <v>239</v>
      </c>
      <c r="G17" s="55">
        <f>[3]Cob!$B$7</f>
        <v>0</v>
      </c>
      <c r="H17" s="56"/>
    </row>
    <row r="18" spans="1:8">
      <c r="A18" s="33" t="s">
        <v>240</v>
      </c>
      <c r="B18" s="59">
        <f>[4]Cob!$C$4</f>
        <v>0</v>
      </c>
      <c r="C18" s="60"/>
      <c r="F18" s="33" t="s">
        <v>240</v>
      </c>
      <c r="G18" s="55">
        <f>[4]Cob!$B$7</f>
        <v>0</v>
      </c>
      <c r="H18" s="56"/>
    </row>
    <row r="19" spans="1:8">
      <c r="A19" s="33" t="s">
        <v>241</v>
      </c>
      <c r="B19" s="59">
        <f>[5]Cob!$C$4</f>
        <v>0</v>
      </c>
      <c r="C19" s="60"/>
      <c r="F19" s="33" t="s">
        <v>241</v>
      </c>
      <c r="G19" s="55">
        <f>[5]Cob!$B$7</f>
        <v>0</v>
      </c>
      <c r="H19" s="56"/>
    </row>
    <row r="20" spans="1:8">
      <c r="A20" s="33" t="s">
        <v>242</v>
      </c>
      <c r="B20" s="59">
        <f>[6]Cob!$C$4</f>
        <v>157.37</v>
      </c>
      <c r="C20" s="60"/>
      <c r="F20" s="33" t="s">
        <v>242</v>
      </c>
      <c r="G20" s="55">
        <f>[6]Cob!$B$7</f>
        <v>62.04</v>
      </c>
      <c r="H20" s="56"/>
    </row>
    <row r="22" spans="1:8">
      <c r="A22" s="34" t="s">
        <v>27</v>
      </c>
      <c r="B22" s="59">
        <f>SUM(B15:C20)</f>
        <v>157.37</v>
      </c>
      <c r="C22" s="60"/>
      <c r="F22" s="34" t="s">
        <v>27</v>
      </c>
      <c r="G22" s="55">
        <f>SUM(G15:H20)</f>
        <v>96.47</v>
      </c>
      <c r="H22" s="56"/>
    </row>
    <row r="23" spans="1:8">
      <c r="A23" s="5" t="s">
        <v>183</v>
      </c>
      <c r="F23" s="5" t="s">
        <v>185</v>
      </c>
    </row>
    <row r="27" spans="1:8">
      <c r="A27" s="33" t="s">
        <v>30</v>
      </c>
      <c r="F27" s="33" t="s">
        <v>28</v>
      </c>
    </row>
    <row r="28" spans="1:8">
      <c r="A28" s="33" t="s">
        <v>237</v>
      </c>
      <c r="B28" s="59">
        <f>[1]Cob!$C$5</f>
        <v>0</v>
      </c>
      <c r="C28" s="60"/>
      <c r="F28" s="33" t="s">
        <v>237</v>
      </c>
      <c r="G28" s="59">
        <f>[1]Cob!$C$8</f>
        <v>0</v>
      </c>
      <c r="H28" s="60"/>
    </row>
    <row r="29" spans="1:8">
      <c r="A29" s="33" t="s">
        <v>238</v>
      </c>
      <c r="B29" s="59">
        <f>[2]Cob!$C$5</f>
        <v>0</v>
      </c>
      <c r="C29" s="60"/>
      <c r="F29" s="33" t="s">
        <v>238</v>
      </c>
      <c r="G29" s="59">
        <f>[2]Cob!$C$8</f>
        <v>0</v>
      </c>
      <c r="H29" s="60"/>
    </row>
    <row r="30" spans="1:8">
      <c r="A30" s="33" t="s">
        <v>239</v>
      </c>
      <c r="B30" s="59">
        <f>[3]Cob!$C$5</f>
        <v>0</v>
      </c>
      <c r="C30" s="60"/>
      <c r="F30" s="33" t="s">
        <v>239</v>
      </c>
      <c r="G30" s="59">
        <f>[3]Cob!$C$8</f>
        <v>0</v>
      </c>
      <c r="H30" s="60"/>
    </row>
    <row r="31" spans="1:8">
      <c r="A31" s="33" t="s">
        <v>240</v>
      </c>
      <c r="B31" s="59">
        <f>[4]Cob!$C$5</f>
        <v>0</v>
      </c>
      <c r="C31" s="60"/>
      <c r="F31" s="33" t="s">
        <v>240</v>
      </c>
      <c r="G31" s="59">
        <f>[4]Cob!$C$8</f>
        <v>0</v>
      </c>
      <c r="H31" s="60"/>
    </row>
    <row r="32" spans="1:8">
      <c r="A32" s="33" t="s">
        <v>241</v>
      </c>
      <c r="B32" s="59">
        <f>[5]Cob!$C$5</f>
        <v>0</v>
      </c>
      <c r="C32" s="60"/>
      <c r="F32" s="33" t="s">
        <v>241</v>
      </c>
      <c r="G32" s="59">
        <f>[5]Cob!$C$8</f>
        <v>0</v>
      </c>
      <c r="H32" s="60"/>
    </row>
    <row r="33" spans="1:8">
      <c r="A33" s="33" t="s">
        <v>242</v>
      </c>
      <c r="B33" s="59">
        <f>[6]Cob!$C$5</f>
        <v>54.95</v>
      </c>
      <c r="C33" s="60"/>
      <c r="F33" s="33" t="s">
        <v>242</v>
      </c>
      <c r="G33" s="59">
        <f>[6]Cob!$C$8</f>
        <v>157.37</v>
      </c>
      <c r="H33" s="60"/>
    </row>
    <row r="35" spans="1:8">
      <c r="A35" s="34" t="s">
        <v>27</v>
      </c>
      <c r="B35" s="59">
        <f>SUM(B28:C33)</f>
        <v>54.95</v>
      </c>
      <c r="C35" s="60"/>
      <c r="F35" s="34" t="s">
        <v>27</v>
      </c>
      <c r="G35" s="59">
        <f>SUM(G28:H33)</f>
        <v>157.37</v>
      </c>
      <c r="H35" s="60"/>
    </row>
    <row r="36" spans="1:8">
      <c r="A36" s="5" t="s">
        <v>306</v>
      </c>
      <c r="F36" s="5" t="s">
        <v>307</v>
      </c>
    </row>
  </sheetData>
  <mergeCells count="42">
    <mergeCell ref="G33:H33"/>
    <mergeCell ref="G15:H15"/>
    <mergeCell ref="G16:H16"/>
    <mergeCell ref="G17:H17"/>
    <mergeCell ref="G18:H18"/>
    <mergeCell ref="G19:H19"/>
    <mergeCell ref="G20:H20"/>
    <mergeCell ref="G28:H28"/>
    <mergeCell ref="G29:H29"/>
    <mergeCell ref="G30:H30"/>
    <mergeCell ref="G31:H31"/>
    <mergeCell ref="G32:H32"/>
    <mergeCell ref="G2:H2"/>
    <mergeCell ref="G3:H3"/>
    <mergeCell ref="G4:H4"/>
    <mergeCell ref="G5:H5"/>
    <mergeCell ref="G6:H6"/>
    <mergeCell ref="G7:H7"/>
    <mergeCell ref="B28:C28"/>
    <mergeCell ref="B29:C29"/>
    <mergeCell ref="B30:C30"/>
    <mergeCell ref="B31:C31"/>
    <mergeCell ref="B7:C7"/>
    <mergeCell ref="B9:C9"/>
    <mergeCell ref="G9:H9"/>
    <mergeCell ref="G22:H22"/>
    <mergeCell ref="B35:C35"/>
    <mergeCell ref="G35:H35"/>
    <mergeCell ref="B2:C2"/>
    <mergeCell ref="B3:C3"/>
    <mergeCell ref="B4:C4"/>
    <mergeCell ref="B5:C5"/>
    <mergeCell ref="B6:C6"/>
    <mergeCell ref="B32:C32"/>
    <mergeCell ref="B33:C33"/>
    <mergeCell ref="B15:C15"/>
    <mergeCell ref="B16:C16"/>
    <mergeCell ref="B17:C17"/>
    <mergeCell ref="B18:C18"/>
    <mergeCell ref="B19:C19"/>
    <mergeCell ref="B20:C20"/>
    <mergeCell ref="B22:C22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FF00"/>
  </sheetPr>
  <dimension ref="A1:C10"/>
  <sheetViews>
    <sheetView zoomScale="85" zoomScaleNormal="85" workbookViewId="0">
      <selection activeCell="B5" sqref="B5:C6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3">
      <c r="A1" s="50" t="s">
        <v>249</v>
      </c>
      <c r="B1" s="50"/>
      <c r="C1" s="50"/>
    </row>
    <row r="2" spans="1:3">
      <c r="A2" s="33" t="s">
        <v>237</v>
      </c>
      <c r="B2" s="53">
        <f>[1]Chap_Par!$B$68:$C$68</f>
        <v>2930.8520000000008</v>
      </c>
      <c r="C2" s="54"/>
    </row>
    <row r="3" spans="1:3">
      <c r="A3" s="33" t="s">
        <v>238</v>
      </c>
      <c r="B3" s="53">
        <f>[2]Chap_Par!$B$68:$C$68</f>
        <v>3552.8865000000005</v>
      </c>
      <c r="C3" s="54"/>
    </row>
    <row r="4" spans="1:3">
      <c r="A4" s="33" t="s">
        <v>239</v>
      </c>
      <c r="B4" s="53">
        <f>[3]Chap_Par!$B$68:$C$68</f>
        <v>2889.9764999999998</v>
      </c>
      <c r="C4" s="54"/>
    </row>
    <row r="5" spans="1:3">
      <c r="A5" s="33" t="s">
        <v>240</v>
      </c>
      <c r="B5" s="53">
        <f>[4]Chap_Par!$B$68:$C$68</f>
        <v>1819.8290000000002</v>
      </c>
      <c r="C5" s="54"/>
    </row>
    <row r="6" spans="1:3">
      <c r="A6" s="33" t="s">
        <v>241</v>
      </c>
      <c r="B6" s="53">
        <f>[5]Chap_Par!$B$68:$C$68</f>
        <v>1895.8710000000001</v>
      </c>
      <c r="C6" s="54"/>
    </row>
    <row r="7" spans="1:3">
      <c r="A7" s="33" t="s">
        <v>242</v>
      </c>
      <c r="B7" s="55">
        <f>[6]Chap_Par!$B$68:$C$68</f>
        <v>955.61</v>
      </c>
      <c r="C7" s="56"/>
    </row>
    <row r="9" spans="1:3">
      <c r="A9" s="34" t="s">
        <v>27</v>
      </c>
      <c r="B9" s="53">
        <f>SUM(B2:C7)</f>
        <v>14045.025000000001</v>
      </c>
      <c r="C9" s="54"/>
    </row>
    <row r="10" spans="1:3">
      <c r="A10" s="5" t="s">
        <v>301</v>
      </c>
    </row>
  </sheetData>
  <mergeCells count="8">
    <mergeCell ref="B9:C9"/>
    <mergeCell ref="B7:C7"/>
    <mergeCell ref="A1:C1"/>
    <mergeCell ref="B2:C2"/>
    <mergeCell ref="B3:C3"/>
    <mergeCell ref="B4:C4"/>
    <mergeCell ref="B5:C5"/>
    <mergeCell ref="B6:C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36</vt:i4>
      </vt:variant>
    </vt:vector>
  </HeadingPairs>
  <TitlesOfParts>
    <vt:vector size="36" baseType="lpstr">
      <vt:lpstr>Memória</vt:lpstr>
      <vt:lpstr>Alv15</vt:lpstr>
      <vt:lpstr>Alv20</vt:lpstr>
      <vt:lpstr>Encun</vt:lpstr>
      <vt:lpstr>Ver_Jan</vt:lpstr>
      <vt:lpstr>Con_Ver</vt:lpstr>
      <vt:lpstr>Ver_Por</vt:lpstr>
      <vt:lpstr>Cob</vt:lpstr>
      <vt:lpstr>Chap_Par</vt:lpstr>
      <vt:lpstr>Reb_Par</vt:lpstr>
      <vt:lpstr>Embç_Par</vt:lpstr>
      <vt:lpstr>Cerâm_Par</vt:lpstr>
      <vt:lpstr>Selad_Par</vt:lpstr>
      <vt:lpstr>Emass_Par</vt:lpstr>
      <vt:lpstr>Pint_Epox_Par</vt:lpstr>
      <vt:lpstr>Pint_Epox_Demarc</vt:lpstr>
      <vt:lpstr>Pint_Acr_Par</vt:lpstr>
      <vt:lpstr>Chap_Tet</vt:lpstr>
      <vt:lpstr>Reb_Tet</vt:lpstr>
      <vt:lpstr>Emass_Tet</vt:lpstr>
      <vt:lpstr>Pint_Tet</vt:lpstr>
      <vt:lpstr>For_Ges</vt:lpstr>
      <vt:lpstr>Emass_For_Ges</vt:lpstr>
      <vt:lpstr>Pint_For_Ges</vt:lpstr>
      <vt:lpstr>Pis_Porce</vt:lpstr>
      <vt:lpstr>Pis_Cer</vt:lpstr>
      <vt:lpstr>Pis_Conc_Poli</vt:lpstr>
      <vt:lpstr>Pis_Grani</vt:lpstr>
      <vt:lpstr>Con_Pis</vt:lpstr>
      <vt:lpstr>Piso_Borracha</vt:lpstr>
      <vt:lpstr>Passeio</vt:lpstr>
      <vt:lpstr>Soleira</vt:lpstr>
      <vt:lpstr>Rodape</vt:lpstr>
      <vt:lpstr>Esquad</vt:lpstr>
      <vt:lpstr>Diver</vt:lpstr>
      <vt:lpstr>Rev_Cer_Fachada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Usuario</cp:lastModifiedBy>
  <cp:lastPrinted>2018-09-05T04:33:40Z</cp:lastPrinted>
  <dcterms:created xsi:type="dcterms:W3CDTF">2018-03-26T11:25:45Z</dcterms:created>
  <dcterms:modified xsi:type="dcterms:W3CDTF">2018-11-08T11:57:01Z</dcterms:modified>
</cp:coreProperties>
</file>